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802" activeTab="1"/>
  </bookViews>
  <sheets>
    <sheet name="données à mettre à jour" sheetId="1" r:id="rId1"/>
    <sheet name="Reclassement zone 2" sheetId="2" r:id="rId2"/>
    <sheet name="Zone 1 - 3% " sheetId="3" state="hidden" r:id="rId3"/>
    <sheet name="Zone 2 - 1%" sheetId="4" state="hidden" r:id="rId4"/>
    <sheet name="Zone 3 - 0%" sheetId="5" state="hidden" r:id="rId5"/>
    <sheet name="Zone 2 - mi_temps" sheetId="6" state="hidden" r:id="rId6"/>
    <sheet name="Calcul indemnité différentielle" sheetId="7" state="hidden" r:id="rId7"/>
    <sheet name="Traitements bruts" sheetId="8" state="hidden" r:id="rId8"/>
    <sheet name="valeurs pt indice" sheetId="9" state="hidden" r:id="rId9"/>
    <sheet name="Calcul" sheetId="10" state="hidden" r:id="rId10"/>
  </sheets>
  <definedNames>
    <definedName name="Calcul">'Reclassement zone 2'!$K$1:$V$23</definedName>
    <definedName name="inddiff">"Objet 2"</definedName>
    <definedName name="indemnité_diff">'Reclassement zone 2'!$K$33:$V$54</definedName>
    <definedName name="Reclassement">'Reclassement zone 2'!$A$1:$J$21</definedName>
    <definedName name="_xlnm.Print_Area" localSheetId="1">'Reclassement zone 2'!$B$1:$W$56</definedName>
    <definedName name="_xlnm.Print_Area" localSheetId="8">'valeurs pt indice'!$B$2:$C$18</definedName>
    <definedName name="_xlnm.Print_Area" localSheetId="2">'Zone 1 - 3% '!$A$1:$N$46</definedName>
    <definedName name="_xlnm.Print_Area" localSheetId="3">'Zone 2 - 1%'!$A$1:$O$46</definedName>
    <definedName name="_xlnm.Print_Area" localSheetId="5">'Zone 2 - mi_temps'!$A$1:$O$46</definedName>
    <definedName name="_xlnm.Print_Area" localSheetId="4">'Zone 3 - 0%'!$A$1:$O$46</definedName>
  </definedNames>
  <calcPr fullCalcOnLoad="1"/>
</workbook>
</file>

<file path=xl/sharedStrings.xml><?xml version="1.0" encoding="utf-8"?>
<sst xmlns="http://schemas.openxmlformats.org/spreadsheetml/2006/main" count="415" uniqueCount="155">
  <si>
    <t>Echelon PE</t>
  </si>
  <si>
    <t>- 3 ans 6 mois</t>
  </si>
  <si>
    <t>+ 3 ans 6 mois</t>
  </si>
  <si>
    <t>- 2 ans 6 mois</t>
  </si>
  <si>
    <t>+ 2 ans 6 mois</t>
  </si>
  <si>
    <t>- d'un an</t>
  </si>
  <si>
    <t>+ d'un an</t>
  </si>
  <si>
    <t>- 4 ans 6 mois</t>
  </si>
  <si>
    <t>Ancienneté</t>
  </si>
  <si>
    <t>Instituteurs (trices)</t>
  </si>
  <si>
    <t>Echelon</t>
  </si>
  <si>
    <t>Choix</t>
  </si>
  <si>
    <t>Mi-choix</t>
  </si>
  <si>
    <t>du 1 au 2</t>
  </si>
  <si>
    <t>9 mois</t>
  </si>
  <si>
    <t>du 2 au 3</t>
  </si>
  <si>
    <t xml:space="preserve">9 mois </t>
  </si>
  <si>
    <t>du 3 au 4</t>
  </si>
  <si>
    <t>1 an</t>
  </si>
  <si>
    <t>du 4 au 5</t>
  </si>
  <si>
    <t>1 an 3 mois</t>
  </si>
  <si>
    <t>1 an 6 mois</t>
  </si>
  <si>
    <t>du 5 au 6</t>
  </si>
  <si>
    <t>du 6 au 7</t>
  </si>
  <si>
    <t>2 ans 6 mois</t>
  </si>
  <si>
    <t>du 7 au 8</t>
  </si>
  <si>
    <t>3 ans 6 mois</t>
  </si>
  <si>
    <t>4 ans 6 mois</t>
  </si>
  <si>
    <t>du 8 au 9</t>
  </si>
  <si>
    <t>4 ans</t>
  </si>
  <si>
    <t>du 10 au 11</t>
  </si>
  <si>
    <t>3 ans</t>
  </si>
  <si>
    <t>Professeurs des écoles</t>
  </si>
  <si>
    <t>Hors-classe</t>
  </si>
  <si>
    <t>Grand-choix</t>
  </si>
  <si>
    <t>Durée</t>
  </si>
  <si>
    <t>3 mois</t>
  </si>
  <si>
    <t>2 ans</t>
  </si>
  <si>
    <t>du 9 au 10</t>
  </si>
  <si>
    <t>5 ans</t>
  </si>
  <si>
    <t>5 ans 6 mois</t>
  </si>
  <si>
    <t>Ech</t>
  </si>
  <si>
    <t>Instit.</t>
  </si>
  <si>
    <t>PE</t>
  </si>
  <si>
    <t>Indices échelons</t>
  </si>
  <si>
    <t>0</t>
  </si>
  <si>
    <t>Echel. instit.</t>
  </si>
  <si>
    <t>Ancienneté dans l'échelon instit conservée</t>
  </si>
  <si>
    <t>+ 4 ans 6 mois</t>
  </si>
  <si>
    <t>Ancienneté dans l'échelon instit</t>
  </si>
  <si>
    <t>NOM :</t>
  </si>
  <si>
    <t>RECLASSEMENT PAR
LISTE D'APTITUDE</t>
  </si>
  <si>
    <t>Pour revenir à la page d'accueil, cliquez ici ou sur l'onglet Intro en bas de page</t>
  </si>
  <si>
    <t>au</t>
  </si>
  <si>
    <t xml:space="preserve">Valeur annuelle pt indiciaire </t>
  </si>
  <si>
    <t xml:space="preserve">Valeur brute mensuelle </t>
  </si>
  <si>
    <t xml:space="preserve">Valeur nette mensuelle </t>
  </si>
  <si>
    <t>*</t>
  </si>
  <si>
    <t>(indemnité de résidence + 3% incluse)</t>
  </si>
  <si>
    <t>Le net mensuel ci-dessous est arrondi à l'€ (au F) le plus proche</t>
  </si>
  <si>
    <t>Instituteur (trice)</t>
  </si>
  <si>
    <t>sans IRL</t>
  </si>
  <si>
    <t>avec IRL célibataire</t>
  </si>
  <si>
    <t>avec IRL marié/enfant</t>
  </si>
  <si>
    <t>Indice</t>
  </si>
  <si>
    <t>Net mensuel</t>
  </si>
  <si>
    <t>en €</t>
  </si>
  <si>
    <t>en F</t>
  </si>
  <si>
    <t>Fiche de paie</t>
  </si>
  <si>
    <t>Réel
en F</t>
  </si>
  <si>
    <t>I. R. L. versée à part (hors fiche de paie)</t>
  </si>
  <si>
    <t>Taux au</t>
  </si>
  <si>
    <t>Prof des écoles</t>
  </si>
  <si>
    <t xml:space="preserve">* sont retirés du salaire brut : </t>
  </si>
  <si>
    <t>dont IRL et sur 100% des allocations familiales)</t>
  </si>
  <si>
    <t>(sauf ISSR et IRL) + supp. familial moins pension et RAFP)</t>
  </si>
  <si>
    <t>(mesure 2004)</t>
  </si>
  <si>
    <t>(indemnité de résidence + 1% incluse)</t>
  </si>
  <si>
    <t>(sauf ISSR et IRL) + supp. familial moins pension)</t>
  </si>
  <si>
    <r>
      <t>Traitements nets arrondis</t>
    </r>
    <r>
      <rPr>
        <b/>
        <sz val="14"/>
        <rFont val="Times New Roman"/>
        <family val="1"/>
      </rPr>
      <t xml:space="preserve"> (retraite additionnelle déduite)
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3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1</t>
    </r>
    <r>
      <rPr>
        <b/>
        <sz val="12"/>
        <rFont val="Times New Roman"/>
        <family val="1"/>
      </rPr>
      <t>)</t>
    </r>
  </si>
  <si>
    <r>
      <t xml:space="preserve">Réel mensuel </t>
    </r>
    <r>
      <rPr>
        <i/>
        <sz val="10"/>
        <rFont val="Times New Roman"/>
        <family val="1"/>
      </rPr>
      <t>(avec IRL)</t>
    </r>
  </si>
  <si>
    <r>
      <t xml:space="preserve">P.E. Hors Classe
</t>
    </r>
    <r>
      <rPr>
        <sz val="9"/>
        <rFont val="Times New Roman"/>
        <family val="1"/>
      </rPr>
      <t>(accès possible en théorie à partir du 7ème échelon PE)</t>
    </r>
  </si>
  <si>
    <r>
      <t>Retraite</t>
    </r>
    <r>
      <rPr>
        <sz val="9"/>
        <rFont val="Times New Roman"/>
        <family val="1"/>
      </rPr>
      <t xml:space="preserve"> 7,85% du traitement brut</t>
    </r>
  </si>
  <si>
    <r>
      <t>Retraite additionnelle</t>
    </r>
    <r>
      <rPr>
        <sz val="9"/>
        <rFont val="Times New Roman"/>
        <family val="1"/>
      </rPr>
      <t xml:space="preserve"> 5% de l'indemnité de résidence et IRL</t>
    </r>
  </si>
  <si>
    <r>
      <t>CRDS</t>
    </r>
    <r>
      <rPr>
        <sz val="9"/>
        <rFont val="Times New Roman"/>
        <family val="1"/>
      </rPr>
      <t xml:space="preserve"> 0,5% (sur </t>
    </r>
    <r>
      <rPr>
        <b/>
        <sz val="9"/>
        <rFont val="Times New Roman"/>
        <family val="1"/>
      </rPr>
      <t>97</t>
    </r>
    <r>
      <rPr>
        <sz val="9"/>
        <rFont val="Times New Roman"/>
        <family val="1"/>
      </rPr>
      <t>% de tous les revenus,</t>
    </r>
  </si>
  <si>
    <r>
      <t>CSG</t>
    </r>
    <r>
      <rPr>
        <sz val="9"/>
        <rFont val="Times New Roman"/>
        <family val="1"/>
      </rPr>
      <t xml:space="preserve"> 7,5% (sur </t>
    </r>
    <r>
      <rPr>
        <b/>
        <sz val="9"/>
        <rFont val="Times New Roman"/>
        <family val="1"/>
      </rPr>
      <t>97</t>
    </r>
    <r>
      <rPr>
        <sz val="9"/>
        <rFont val="Times New Roman"/>
        <family val="1"/>
      </rPr>
      <t>% de tous les revenus, dont IRL)</t>
    </r>
  </si>
  <si>
    <r>
      <t>Contribution solidarité</t>
    </r>
    <r>
      <rPr>
        <sz val="9"/>
        <rFont val="Times New Roman"/>
        <family val="1"/>
      </rPr>
      <t xml:space="preserve"> 1% de (trait. brut + indemnités</t>
    </r>
  </si>
  <si>
    <r>
      <t>MGEN</t>
    </r>
    <r>
      <rPr>
        <sz val="9"/>
        <rFont val="Times New Roman"/>
        <family val="1"/>
      </rPr>
      <t xml:space="preserve"> 2,6% du traitement brut + indem. de résidence</t>
    </r>
  </si>
  <si>
    <r>
      <t xml:space="preserve">Traitements nets arrondis </t>
    </r>
    <r>
      <rPr>
        <b/>
        <sz val="14"/>
        <rFont val="Times New Roman"/>
        <family val="1"/>
      </rPr>
      <t xml:space="preserve">(retraite additionnelle déduite)
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1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2</t>
    </r>
    <r>
      <rPr>
        <b/>
        <sz val="12"/>
        <rFont val="Times New Roman"/>
        <family val="1"/>
      </rPr>
      <t>)</t>
    </r>
  </si>
  <si>
    <r>
      <t>Traitements nets arrondis</t>
    </r>
    <r>
      <rPr>
        <b/>
        <sz val="14"/>
        <rFont val="Times New Roman"/>
        <family val="1"/>
      </rPr>
      <t xml:space="preserve"> (retraite additionnelle non déduite)
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0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3</t>
    </r>
    <r>
      <rPr>
        <b/>
        <sz val="12"/>
        <rFont val="Times New Roman"/>
        <family val="1"/>
      </rPr>
      <t>)</t>
    </r>
  </si>
  <si>
    <t xml:space="preserve">Au taux célibataire ou marié : </t>
  </si>
  <si>
    <t xml:space="preserve">Votre échelon instit au moment de l'intégration : </t>
  </si>
  <si>
    <t>à mettre à jour</t>
  </si>
  <si>
    <t>valeur point indice</t>
  </si>
  <si>
    <t xml:space="preserve">Montant IRL  </t>
  </si>
  <si>
    <t>marié/enft</t>
  </si>
  <si>
    <t>taux au</t>
  </si>
  <si>
    <t>(Indemnité de résidence à 1%)</t>
  </si>
  <si>
    <t>oui</t>
  </si>
  <si>
    <t>Célibataire</t>
  </si>
  <si>
    <t>Marié(e)</t>
  </si>
  <si>
    <t>Renseigner les cases jaunes</t>
  </si>
  <si>
    <t>Intégration PE au 1er septembre</t>
  </si>
  <si>
    <t>Instit</t>
  </si>
  <si>
    <t xml:space="preserve">Nom </t>
  </si>
  <si>
    <t xml:space="preserve">Echelon </t>
  </si>
  <si>
    <t xml:space="preserve">Mi-temps (O/N) </t>
  </si>
  <si>
    <t xml:space="preserve">Marié ou enfant à charge (O/N) </t>
  </si>
  <si>
    <t>Marié</t>
  </si>
  <si>
    <t>Taux IRL</t>
  </si>
  <si>
    <t>Taux les plus courants</t>
  </si>
  <si>
    <t>au 1/1/2003</t>
  </si>
  <si>
    <t>au 1/1/2002</t>
  </si>
  <si>
    <t>Voir le calcul</t>
  </si>
  <si>
    <t>Indemnité différentielle due au 1er septembre</t>
  </si>
  <si>
    <t>Montant du point d'indice</t>
  </si>
  <si>
    <t>Instituteurs</t>
  </si>
  <si>
    <t>Salaire brut</t>
  </si>
  <si>
    <t>1/2 temps</t>
  </si>
  <si>
    <t>Plein temps</t>
  </si>
  <si>
    <t>Valeur du point d'indice mensuel
au 1er septembre (en €)</t>
  </si>
  <si>
    <t>Années</t>
  </si>
  <si>
    <t xml:space="preserve">Valeur
pt d'indice :  </t>
  </si>
  <si>
    <t>Traitement brut mensuel
(sans bonifications indiciaires)</t>
  </si>
  <si>
    <t>Retenues pensions civiles (S)</t>
  </si>
  <si>
    <t>IRL</t>
  </si>
  <si>
    <t>TOTAL pour information
(voir formule ci-dessous)</t>
  </si>
  <si>
    <r>
      <t>(</t>
    </r>
    <r>
      <rPr>
        <b/>
        <i/>
        <u val="single"/>
        <sz val="14"/>
        <rFont val="Arial"/>
        <family val="2"/>
      </rPr>
      <t>indiquez l'année d'intégration</t>
    </r>
    <r>
      <rPr>
        <b/>
        <i/>
        <sz val="14"/>
        <rFont val="Arial"/>
        <family val="2"/>
      </rPr>
      <t>)</t>
    </r>
  </si>
  <si>
    <r>
      <t>Indemnité différentielle</t>
    </r>
    <r>
      <rPr>
        <b/>
        <sz val="12"/>
        <rFont val="Arial"/>
        <family val="2"/>
      </rPr>
      <t xml:space="preserve">
{(TI-S)+IRL}-{TP-S}</t>
    </r>
  </si>
  <si>
    <t xml:space="preserve">Année d'intégration : au 1er Septembre </t>
  </si>
  <si>
    <t>Simulation zone 2 de résidence</t>
  </si>
  <si>
    <t>Etes-vous à mi-temps :</t>
  </si>
  <si>
    <r>
      <t xml:space="preserve">En tant qu'instituteur </t>
    </r>
    <r>
      <rPr>
        <b/>
        <sz val="12"/>
        <rFont val="Arial"/>
        <family val="2"/>
      </rPr>
      <t>vous touchez l'</t>
    </r>
    <r>
      <rPr>
        <b/>
        <sz val="12"/>
        <color indexed="60"/>
        <rFont val="Arial"/>
        <family val="2"/>
      </rPr>
      <t>IRL</t>
    </r>
    <r>
      <rPr>
        <b/>
        <sz val="12"/>
        <rFont val="Arial"/>
        <family val="2"/>
      </rPr>
      <t xml:space="preserve"> (indemnité logement) :</t>
    </r>
  </si>
  <si>
    <t>='Reclassement zone 2'!M2</t>
  </si>
  <si>
    <t xml:space="preserve">Votre échelon PE au moment de l'intégration : </t>
  </si>
  <si>
    <t>pour le savoir cliquez ici</t>
  </si>
  <si>
    <t>pour revenir au calcul, cliquez ici</t>
  </si>
  <si>
    <r>
      <t xml:space="preserve">Votre salaire net actuel </t>
    </r>
    <r>
      <rPr>
        <b/>
        <u val="single"/>
        <sz val="12"/>
        <color indexed="10"/>
        <rFont val="Arial"/>
        <family val="2"/>
      </rPr>
      <t>Instit</t>
    </r>
    <r>
      <rPr>
        <b/>
        <sz val="12"/>
        <rFont val="Arial"/>
        <family val="2"/>
      </rPr>
      <t xml:space="preserve"> arrondi (IRL incluse, le cas échéant) :</t>
    </r>
  </si>
  <si>
    <r>
      <t xml:space="preserve">Votre salaire net </t>
    </r>
    <r>
      <rPr>
        <b/>
        <u val="single"/>
        <sz val="12"/>
        <color indexed="10"/>
        <rFont val="Arial"/>
        <family val="2"/>
      </rPr>
      <t>PE</t>
    </r>
    <r>
      <rPr>
        <b/>
        <sz val="12"/>
        <rFont val="Arial"/>
        <family val="2"/>
      </rPr>
      <t xml:space="preserve"> arrondi après intégration :</t>
    </r>
  </si>
  <si>
    <r>
      <t>dont</t>
    </r>
    <r>
      <rPr>
        <b/>
        <sz val="12"/>
        <color indexed="10"/>
        <rFont val="Arial"/>
        <family val="2"/>
      </rPr>
      <t xml:space="preserve"> indemnité différentielle</t>
    </r>
    <r>
      <rPr>
        <b/>
        <sz val="12"/>
        <rFont val="Arial"/>
        <family val="2"/>
      </rPr>
      <t xml:space="preserve"> arrondie versée (le cas échéant) :</t>
    </r>
  </si>
  <si>
    <r>
      <t xml:space="preserve">Gain ou perte financière </t>
    </r>
    <r>
      <rPr>
        <b/>
        <sz val="12"/>
        <rFont val="Arial"/>
        <family val="2"/>
      </rPr>
      <t>immédiats, environ :</t>
    </r>
  </si>
  <si>
    <r>
      <t>Par la suite</t>
    </r>
    <r>
      <rPr>
        <b/>
        <i/>
        <sz val="16"/>
        <rFont val="Arial"/>
        <family val="2"/>
      </rPr>
      <t xml:space="preserve"> :</t>
    </r>
  </si>
  <si>
    <r>
      <t>Votre situation personnelle</t>
    </r>
    <r>
      <rPr>
        <b/>
        <sz val="18"/>
        <rFont val="Arial"/>
        <family val="2"/>
      </rPr>
      <t xml:space="preserve"> :</t>
    </r>
  </si>
  <si>
    <r>
      <t>*</t>
    </r>
    <r>
      <rPr>
        <b/>
        <sz val="14"/>
        <color indexed="12"/>
        <rFont val="Geneva"/>
        <family val="0"/>
      </rPr>
      <t xml:space="preserve"> en savoir plus</t>
    </r>
  </si>
  <si>
    <t>Ancienneté dans le
nouvel échelon PE</t>
  </si>
  <si>
    <t>votre ancienneté dans cet échelon :</t>
  </si>
  <si>
    <t>au 1 / 9 /</t>
  </si>
  <si>
    <t>pour info :</t>
  </si>
  <si>
    <t>Mi-temps</t>
  </si>
  <si>
    <t>Pour info au SNUipp</t>
  </si>
  <si>
    <t>serait actuellement de</t>
  </si>
  <si>
    <t>Gilles Marie GUILLAIN de ROBIEN</t>
  </si>
  <si>
    <r>
      <t xml:space="preserve">Ton salaire net </t>
    </r>
    <r>
      <rPr>
        <b/>
        <i/>
        <u val="single"/>
        <sz val="12"/>
        <rFont val="Arial"/>
        <family val="2"/>
      </rPr>
      <t>PE</t>
    </r>
    <r>
      <rPr>
        <b/>
        <i/>
        <sz val="12"/>
        <rFont val="Arial"/>
        <family val="2"/>
      </rPr>
      <t xml:space="preserve"> à l'échelon  </t>
    </r>
  </si>
  <si>
    <r>
      <t xml:space="preserve">Ton salaire net </t>
    </r>
    <r>
      <rPr>
        <b/>
        <i/>
        <u val="single"/>
        <sz val="12"/>
        <rFont val="Arial"/>
        <family val="2"/>
      </rPr>
      <t>Instit</t>
    </r>
    <r>
      <rPr>
        <b/>
        <i/>
        <sz val="12"/>
        <rFont val="Arial"/>
        <family val="2"/>
      </rPr>
      <t xml:space="preserve"> + </t>
    </r>
    <r>
      <rPr>
        <b/>
        <i/>
        <u val="single"/>
        <sz val="12"/>
        <rFont val="Arial"/>
        <family val="2"/>
      </rPr>
      <t>IRL</t>
    </r>
    <r>
      <rPr>
        <b/>
        <i/>
        <sz val="12"/>
        <rFont val="Arial"/>
        <family val="2"/>
      </rPr>
      <t xml:space="preserve"> à l'échelon  </t>
    </r>
  </si>
  <si>
    <t>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</si>
</sst>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&quot;;\-#,##0.00&quot; F&quot;"/>
    <numFmt numFmtId="165" formatCode="_-* #,##0&quot; F&quot;_-;\-* #,##0&quot; F&quot;_-;_-* &quot;-&quot;&quot; F&quot;_-;_-@_-"/>
    <numFmt numFmtId="166" formatCode="_-* #,##0_ _F_-;\-* #,##0_ _F_-;_-* &quot;-&quot;_ _F_-;_-@_-"/>
    <numFmt numFmtId="167" formatCode="_-* #,##0.00&quot; F&quot;_-;\-* #,##0.00&quot; F&quot;_-;_-* &quot;-&quot;??&quot; F&quot;_-;_-@_-"/>
    <numFmt numFmtId="168" formatCode="_-* #,##0.00_ _F_-;\-* #,##0.00_ _F_-;_-* &quot;-&quot;??_ _F_-;_-@_-"/>
    <numFmt numFmtId="169" formatCode="_-* #,##0.00[$€]_-;\-* #,##0.00[$€]_-;_-* &quot;-&quot;??[$€]_-;_-@_-"/>
    <numFmt numFmtId="170" formatCode="#,##0\ [$€-1]"/>
    <numFmt numFmtId="171" formatCode="_-* #,##0.00\ [$€-1]_-;\-* #,##0.00\ [$€-1]_-;_-* &quot;-&quot;??\ [$€-1]_-;_-@_-"/>
    <numFmt numFmtId="172" formatCode="#,##0.00\ [$€-1]"/>
    <numFmt numFmtId="173" formatCode="_-* #,##0.00\ [$F-40C]_-;\-* #,##0.00\ [$F-40C]_-;_-* &quot;-&quot;??\ [$F-40C]_-;_-@_-"/>
    <numFmt numFmtId="174" formatCode="_-* #,##0\ [$€-1]_-;\-* #,##0\ [$€-1]_-;_-* &quot;-&quot;??\ [$€-1]_-;_-@_-"/>
    <numFmt numFmtId="175" formatCode="#,##0\ [$F-40C]"/>
    <numFmt numFmtId="176" formatCode="#,##0.0000\ [$€-1]"/>
    <numFmt numFmtId="177" formatCode="#,##0.00&quot; F&quot;"/>
    <numFmt numFmtId="178" formatCode="\ @"/>
    <numFmt numFmtId="179" formatCode="_-* #,##0.0000\ [$€-1]_-;\-* #,##0.0000\ [$€-1]_-;_-* &quot;-&quot;????\ [$€-1]_-;_-@_-"/>
    <numFmt numFmtId="180" formatCode="#,##0.0000\ [$€-1];\-#,##0.0000\ [$€-1]"/>
    <numFmt numFmtId="181" formatCode="#,##0.00\ &quot;€&quot;"/>
    <numFmt numFmtId="182" formatCode="#,##0.00\ [$€-1];\-#,##0.00\ [$€-1]"/>
    <numFmt numFmtId="183" formatCode="##&quot; ème échelon&quot;"/>
    <numFmt numFmtId="184" formatCode="##&quot;ème échelon&quot;"/>
    <numFmt numFmtId="185" formatCode="#,##0\ [$€-40C];\-#,##0\ [$€-40C]"/>
    <numFmt numFmtId="186" formatCode="#,##0\ &quot;€&quot;"/>
    <numFmt numFmtId="187" formatCode="#,##0\ &quot;€&quot;&quot;)&quot;"/>
  </numFmts>
  <fonts count="8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Times New Roman"/>
      <family val="1"/>
    </font>
    <font>
      <sz val="12"/>
      <name val="Times New Roman"/>
      <family val="0"/>
    </font>
    <font>
      <sz val="9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2"/>
      <name val="Times"/>
      <family val="0"/>
    </font>
    <font>
      <u val="single"/>
      <sz val="13.7"/>
      <color indexed="12"/>
      <name val="Times"/>
      <family val="0"/>
    </font>
    <font>
      <sz val="11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24"/>
      <color indexed="12"/>
      <name val="Times New Roman"/>
      <family val="1"/>
    </font>
    <font>
      <b/>
      <sz val="24"/>
      <color indexed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u val="single"/>
      <sz val="9.3"/>
      <color indexed="12"/>
      <name val="Geneva"/>
      <family val="0"/>
    </font>
    <font>
      <sz val="12"/>
      <name val="Tms Rmn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6"/>
      <color indexed="12"/>
      <name val="Arial"/>
      <family val="2"/>
    </font>
    <font>
      <b/>
      <sz val="24"/>
      <color indexed="9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60"/>
      <name val="Arial"/>
      <family val="2"/>
    </font>
    <font>
      <sz val="24"/>
      <name val="Times New Roman"/>
      <family val="1"/>
    </font>
    <font>
      <sz val="24"/>
      <color indexed="10"/>
      <name val="Times New Roman"/>
      <family val="1"/>
    </font>
    <font>
      <i/>
      <u val="single"/>
      <sz val="24"/>
      <color indexed="10"/>
      <name val="Times New Roman"/>
      <family val="1"/>
    </font>
    <font>
      <sz val="24"/>
      <color indexed="56"/>
      <name val="Times New Roman"/>
      <family val="1"/>
    </font>
    <font>
      <b/>
      <sz val="24"/>
      <color indexed="10"/>
      <name val="Times New Roman"/>
      <family val="1"/>
    </font>
    <font>
      <i/>
      <sz val="24"/>
      <name val="Times New Roman"/>
      <family val="1"/>
    </font>
    <font>
      <i/>
      <sz val="24"/>
      <color indexed="56"/>
      <name val="Times New Roman"/>
      <family val="1"/>
    </font>
    <font>
      <b/>
      <i/>
      <sz val="24"/>
      <color indexed="10"/>
      <name val="Times New Roman"/>
      <family val="1"/>
    </font>
    <font>
      <b/>
      <sz val="36"/>
      <color indexed="10"/>
      <name val="Times New Roman"/>
      <family val="1"/>
    </font>
    <font>
      <b/>
      <u val="single"/>
      <sz val="12"/>
      <name val="Arial"/>
      <family val="2"/>
    </font>
    <font>
      <b/>
      <u val="single"/>
      <sz val="14"/>
      <color indexed="12"/>
      <name val="Geneva"/>
      <family val="0"/>
    </font>
    <font>
      <b/>
      <sz val="24"/>
      <color indexed="12"/>
      <name val="Geneva"/>
      <family val="0"/>
    </font>
    <font>
      <b/>
      <u val="single"/>
      <sz val="18"/>
      <name val="Arial"/>
      <family val="2"/>
    </font>
    <font>
      <b/>
      <i/>
      <u val="single"/>
      <sz val="18"/>
      <name val="Arial"/>
      <family val="2"/>
    </font>
    <font>
      <b/>
      <i/>
      <u val="single"/>
      <sz val="16"/>
      <name val="Arial"/>
      <family val="2"/>
    </font>
    <font>
      <b/>
      <sz val="14"/>
      <color indexed="12"/>
      <name val="Geneva"/>
      <family val="0"/>
    </font>
    <font>
      <b/>
      <i/>
      <sz val="10"/>
      <name val="Arial"/>
      <family val="0"/>
    </font>
    <font>
      <b/>
      <sz val="10"/>
      <name val="Geneva"/>
      <family val="0"/>
    </font>
    <font>
      <b/>
      <i/>
      <u val="single"/>
      <sz val="12"/>
      <name val="Arial"/>
      <family val="2"/>
    </font>
    <font>
      <sz val="9"/>
      <color indexed="10"/>
      <name val="Arial"/>
      <family val="0"/>
    </font>
    <font>
      <b/>
      <u val="single"/>
      <sz val="14"/>
      <color indexed="10"/>
      <name val="Geneva"/>
      <family val="0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9" fillId="0" borderId="0" xfId="26" applyFont="1" applyAlignment="1" applyProtection="1">
      <alignment vertical="center"/>
      <protection/>
    </xf>
    <xf numFmtId="0" fontId="20" fillId="0" borderId="0" xfId="19" applyFont="1" applyAlignment="1">
      <alignment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26" applyFont="1" applyFill="1" applyBorder="1" applyAlignment="1" applyProtection="1">
      <alignment horizontal="center" vertical="center"/>
      <protection/>
    </xf>
    <xf numFmtId="0" fontId="24" fillId="0" borderId="0" xfId="26" applyFont="1" applyAlignment="1" applyProtection="1">
      <alignment vertical="center"/>
      <protection/>
    </xf>
    <xf numFmtId="0" fontId="30" fillId="0" borderId="0" xfId="26" applyFont="1" applyFill="1" applyAlignment="1" applyProtection="1">
      <alignment vertical="center"/>
      <protection/>
    </xf>
    <xf numFmtId="0" fontId="31" fillId="0" borderId="0" xfId="26" applyFont="1" applyFill="1" applyBorder="1" applyAlignment="1" applyProtection="1">
      <alignment horizontal="center" vertical="center" wrapText="1"/>
      <protection/>
    </xf>
    <xf numFmtId="0" fontId="30" fillId="0" borderId="0" xfId="26" applyFont="1" applyAlignment="1" applyProtection="1">
      <alignment vertical="center"/>
      <protection/>
    </xf>
    <xf numFmtId="0" fontId="30" fillId="0" borderId="0" xfId="26" applyFont="1" applyAlignment="1" applyProtection="1">
      <alignment horizontal="centerContinuous" vertical="center"/>
      <protection/>
    </xf>
    <xf numFmtId="0" fontId="19" fillId="0" borderId="0" xfId="26" applyFont="1" applyAlignment="1" applyProtection="1">
      <alignment horizontal="right" vertical="center"/>
      <protection/>
    </xf>
    <xf numFmtId="173" fontId="33" fillId="0" borderId="0" xfId="15" applyNumberFormat="1" applyFont="1" applyAlignment="1" applyProtection="1">
      <alignment vertical="center"/>
      <protection/>
    </xf>
    <xf numFmtId="0" fontId="30" fillId="0" borderId="0" xfId="26" applyFont="1" applyAlignment="1" applyProtection="1">
      <alignment/>
      <protection/>
    </xf>
    <xf numFmtId="0" fontId="30" fillId="0" borderId="0" xfId="26" applyFont="1" applyAlignment="1" applyProtection="1">
      <alignment horizontal="centerContinuous"/>
      <protection/>
    </xf>
    <xf numFmtId="0" fontId="19" fillId="0" borderId="0" xfId="26" applyFont="1" applyAlignment="1" applyProtection="1">
      <alignment horizontal="right"/>
      <protection/>
    </xf>
    <xf numFmtId="172" fontId="23" fillId="0" borderId="0" xfId="26" applyNumberFormat="1" applyFont="1" applyFill="1" applyAlignment="1" applyProtection="1">
      <alignment horizontal="center"/>
      <protection/>
    </xf>
    <xf numFmtId="173" fontId="33" fillId="0" borderId="0" xfId="15" applyNumberFormat="1" applyFont="1" applyAlignment="1" applyProtection="1">
      <alignment/>
      <protection/>
    </xf>
    <xf numFmtId="0" fontId="6" fillId="0" borderId="0" xfId="26" applyFont="1" applyAlignme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30" fillId="0" borderId="0" xfId="26" applyFont="1" applyAlignment="1" applyProtection="1">
      <alignment horizontal="right" vertical="top"/>
      <protection/>
    </xf>
    <xf numFmtId="0" fontId="30" fillId="0" borderId="0" xfId="26" applyFont="1" applyAlignment="1" applyProtection="1">
      <alignment vertical="top"/>
      <protection/>
    </xf>
    <xf numFmtId="0" fontId="33" fillId="0" borderId="0" xfId="26" applyFont="1" applyAlignment="1" applyProtection="1">
      <alignment horizontal="right" vertical="center"/>
      <protection/>
    </xf>
    <xf numFmtId="0" fontId="23" fillId="0" borderId="0" xfId="26" applyFont="1" applyAlignment="1" applyProtection="1">
      <alignment vertical="center"/>
      <protection/>
    </xf>
    <xf numFmtId="0" fontId="34" fillId="0" borderId="0" xfId="26" applyFont="1" applyAlignment="1" applyProtection="1">
      <alignment horizontal="center" vertical="center" wrapText="1"/>
      <protection/>
    </xf>
    <xf numFmtId="0" fontId="23" fillId="2" borderId="1" xfId="26" applyFont="1" applyFill="1" applyBorder="1" applyAlignment="1" applyProtection="1">
      <alignment vertical="center"/>
      <protection/>
    </xf>
    <xf numFmtId="0" fontId="35" fillId="0" borderId="0" xfId="26" applyFont="1" applyAlignment="1" applyProtection="1">
      <alignment horizontal="center" vertical="center"/>
      <protection/>
    </xf>
    <xf numFmtId="0" fontId="23" fillId="0" borderId="2" xfId="26" applyFont="1" applyBorder="1" applyAlignment="1" applyProtection="1">
      <alignment horizontal="center" vertical="center"/>
      <protection/>
    </xf>
    <xf numFmtId="0" fontId="36" fillId="0" borderId="3" xfId="26" applyFont="1" applyBorder="1" applyAlignment="1" applyProtection="1">
      <alignment horizontal="center" vertical="center"/>
      <protection/>
    </xf>
    <xf numFmtId="0" fontId="23" fillId="0" borderId="4" xfId="26" applyFont="1" applyBorder="1" applyAlignment="1" applyProtection="1">
      <alignment horizontal="center" vertical="center" wrapText="1"/>
      <protection/>
    </xf>
    <xf numFmtId="0" fontId="36" fillId="0" borderId="5" xfId="26" applyFont="1" applyBorder="1" applyAlignment="1" applyProtection="1">
      <alignment horizontal="center" vertical="center" wrapText="1"/>
      <protection/>
    </xf>
    <xf numFmtId="0" fontId="23" fillId="0" borderId="6" xfId="26" applyFont="1" applyFill="1" applyBorder="1" applyAlignment="1" applyProtection="1">
      <alignment horizontal="center" vertical="center"/>
      <protection/>
    </xf>
    <xf numFmtId="0" fontId="19" fillId="0" borderId="7" xfId="26" applyFont="1" applyFill="1" applyBorder="1" applyAlignment="1" applyProtection="1">
      <alignment horizontal="center" vertical="center"/>
      <protection/>
    </xf>
    <xf numFmtId="174" fontId="23" fillId="0" borderId="8" xfId="26" applyNumberFormat="1" applyFont="1" applyFill="1" applyBorder="1" applyAlignment="1" applyProtection="1">
      <alignment horizontal="center" vertical="center"/>
      <protection/>
    </xf>
    <xf numFmtId="175" fontId="36" fillId="0" borderId="9" xfId="26" applyNumberFormat="1" applyFont="1" applyFill="1" applyBorder="1" applyAlignment="1" applyProtection="1">
      <alignment horizontal="center" vertical="center"/>
      <protection/>
    </xf>
    <xf numFmtId="0" fontId="19" fillId="0" borderId="10" xfId="26" applyFont="1" applyFill="1" applyBorder="1" applyAlignment="1" applyProtection="1">
      <alignment horizontal="center" vertical="center"/>
      <protection/>
    </xf>
    <xf numFmtId="170" fontId="23" fillId="0" borderId="8" xfId="26" applyNumberFormat="1" applyFont="1" applyFill="1" applyBorder="1" applyAlignment="1" applyProtection="1">
      <alignment horizontal="center" vertical="center"/>
      <protection/>
    </xf>
    <xf numFmtId="175" fontId="36" fillId="0" borderId="11" xfId="26" applyNumberFormat="1" applyFont="1" applyFill="1" applyBorder="1" applyAlignment="1" applyProtection="1">
      <alignment horizontal="center" vertical="center"/>
      <protection/>
    </xf>
    <xf numFmtId="0" fontId="23" fillId="0" borderId="12" xfId="26" applyFont="1" applyFill="1" applyBorder="1" applyAlignment="1" applyProtection="1">
      <alignment horizontal="center" vertical="center"/>
      <protection/>
    </xf>
    <xf numFmtId="0" fontId="19" fillId="0" borderId="13" xfId="26" applyFont="1" applyFill="1" applyBorder="1" applyAlignment="1" applyProtection="1">
      <alignment horizontal="center" vertical="center"/>
      <protection/>
    </xf>
    <xf numFmtId="174" fontId="23" fillId="0" borderId="14" xfId="26" applyNumberFormat="1" applyFont="1" applyFill="1" applyBorder="1" applyAlignment="1" applyProtection="1">
      <alignment horizontal="center" vertical="center"/>
      <protection/>
    </xf>
    <xf numFmtId="175" fontId="36" fillId="0" borderId="15" xfId="26" applyNumberFormat="1" applyFont="1" applyFill="1" applyBorder="1" applyAlignment="1" applyProtection="1">
      <alignment horizontal="center" vertical="center"/>
      <protection/>
    </xf>
    <xf numFmtId="170" fontId="23" fillId="0" borderId="14" xfId="26" applyNumberFormat="1" applyFont="1" applyFill="1" applyBorder="1" applyAlignment="1" applyProtection="1">
      <alignment horizontal="center" vertical="center"/>
      <protection/>
    </xf>
    <xf numFmtId="175" fontId="36" fillId="0" borderId="16" xfId="26" applyNumberFormat="1" applyFont="1" applyFill="1" applyBorder="1" applyAlignment="1" applyProtection="1">
      <alignment horizontal="center" vertical="center"/>
      <protection/>
    </xf>
    <xf numFmtId="0" fontId="23" fillId="0" borderId="17" xfId="26" applyFont="1" applyFill="1" applyBorder="1" applyAlignment="1" applyProtection="1">
      <alignment horizontal="center" vertical="center"/>
      <protection/>
    </xf>
    <xf numFmtId="0" fontId="19" fillId="0" borderId="18" xfId="26" applyFont="1" applyFill="1" applyBorder="1" applyAlignment="1" applyProtection="1">
      <alignment horizontal="center" vertical="center"/>
      <protection/>
    </xf>
    <xf numFmtId="174" fontId="23" fillId="0" borderId="2" xfId="26" applyNumberFormat="1" applyFont="1" applyFill="1" applyBorder="1" applyAlignment="1" applyProtection="1">
      <alignment horizontal="center" vertical="center"/>
      <protection/>
    </xf>
    <xf numFmtId="175" fontId="36" fillId="0" borderId="3" xfId="26" applyNumberFormat="1" applyFont="1" applyFill="1" applyBorder="1" applyAlignment="1" applyProtection="1">
      <alignment horizontal="center" vertical="center"/>
      <protection/>
    </xf>
    <xf numFmtId="170" fontId="23" fillId="0" borderId="2" xfId="26" applyNumberFormat="1" applyFont="1" applyFill="1" applyBorder="1" applyAlignment="1" applyProtection="1">
      <alignment horizontal="center" vertical="center"/>
      <protection/>
    </xf>
    <xf numFmtId="175" fontId="36" fillId="0" borderId="19" xfId="26" applyNumberFormat="1" applyFont="1" applyFill="1" applyBorder="1" applyAlignment="1" applyProtection="1">
      <alignment horizontal="center" vertical="center"/>
      <protection/>
    </xf>
    <xf numFmtId="0" fontId="19" fillId="0" borderId="20" xfId="26" applyFont="1" applyBorder="1" applyAlignment="1" applyProtection="1">
      <alignment vertical="center"/>
      <protection/>
    </xf>
    <xf numFmtId="0" fontId="19" fillId="0" borderId="0" xfId="26" applyFont="1" applyBorder="1" applyAlignment="1" applyProtection="1">
      <alignment vertical="center"/>
      <protection/>
    </xf>
    <xf numFmtId="0" fontId="35" fillId="0" borderId="0" xfId="26" applyFont="1" applyBorder="1" applyAlignment="1" applyProtection="1">
      <alignment vertical="center"/>
      <protection/>
    </xf>
    <xf numFmtId="177" fontId="37" fillId="0" borderId="1" xfId="26" applyNumberFormat="1" applyFont="1" applyBorder="1" applyAlignment="1" applyProtection="1">
      <alignment vertical="center"/>
      <protection/>
    </xf>
    <xf numFmtId="0" fontId="30" fillId="0" borderId="21" xfId="26" applyFont="1" applyBorder="1" applyAlignment="1" applyProtection="1">
      <alignment horizontal="center" vertical="center" wrapText="1"/>
      <protection locked="0"/>
    </xf>
    <xf numFmtId="172" fontId="38" fillId="0" borderId="0" xfId="26" applyNumberFormat="1" applyFont="1" applyBorder="1" applyAlignment="1" applyProtection="1">
      <alignment horizontal="center" vertical="center"/>
      <protection/>
    </xf>
    <xf numFmtId="172" fontId="37" fillId="0" borderId="0" xfId="26" applyNumberFormat="1" applyFont="1" applyBorder="1" applyAlignment="1" applyProtection="1">
      <alignment vertical="center"/>
      <protection/>
    </xf>
    <xf numFmtId="0" fontId="39" fillId="0" borderId="0" xfId="26" applyFont="1" applyBorder="1" applyAlignment="1" applyProtection="1">
      <alignment vertical="center"/>
      <protection/>
    </xf>
    <xf numFmtId="0" fontId="23" fillId="2" borderId="22" xfId="26" applyFont="1" applyFill="1" applyBorder="1" applyAlignment="1" applyProtection="1">
      <alignment horizontal="centerContinuous" vertical="center"/>
      <protection/>
    </xf>
    <xf numFmtId="0" fontId="23" fillId="2" borderId="23" xfId="26" applyFont="1" applyFill="1" applyBorder="1" applyAlignment="1" applyProtection="1">
      <alignment horizontal="centerContinuous" vertical="center"/>
      <protection/>
    </xf>
    <xf numFmtId="0" fontId="23" fillId="2" borderId="1" xfId="26" applyFont="1" applyFill="1" applyBorder="1" applyAlignment="1" applyProtection="1">
      <alignment horizontal="centerContinuous" vertical="center"/>
      <protection/>
    </xf>
    <xf numFmtId="0" fontId="33" fillId="0" borderId="0" xfId="26" applyFont="1" applyAlignment="1" applyProtection="1">
      <alignment horizontal="left" vertical="center" indent="2"/>
      <protection/>
    </xf>
    <xf numFmtId="0" fontId="30" fillId="0" borderId="0" xfId="26" applyFont="1" applyBorder="1" applyAlignment="1" applyProtection="1">
      <alignment vertical="center"/>
      <protection/>
    </xf>
    <xf numFmtId="0" fontId="6" fillId="0" borderId="0" xfId="26" applyFont="1" applyAlignment="1" applyProtection="1">
      <alignment horizontal="left" indent="2"/>
      <protection/>
    </xf>
    <xf numFmtId="0" fontId="30" fillId="0" borderId="0" xfId="26" applyFont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indent="2"/>
      <protection/>
    </xf>
    <xf numFmtId="0" fontId="33" fillId="0" borderId="0" xfId="26" applyFont="1" applyBorder="1" applyAlignment="1" applyProtection="1">
      <alignment vertical="center"/>
      <protection/>
    </xf>
    <xf numFmtId="0" fontId="4" fillId="0" borderId="0" xfId="26" applyFont="1" applyBorder="1" applyAlignment="1" applyProtection="1">
      <alignment/>
      <protection/>
    </xf>
    <xf numFmtId="0" fontId="6" fillId="0" borderId="0" xfId="26" applyFont="1" applyBorder="1" applyAlignment="1" applyProtection="1">
      <alignment horizontal="left" vertical="center" wrapText="1" indent="2"/>
      <protection/>
    </xf>
    <xf numFmtId="0" fontId="6" fillId="0" borderId="0" xfId="26" applyFont="1" applyBorder="1" applyAlignment="1" applyProtection="1">
      <alignment vertical="top"/>
      <protection/>
    </xf>
    <xf numFmtId="0" fontId="23" fillId="0" borderId="24" xfId="26" applyFont="1" applyFill="1" applyBorder="1" applyAlignment="1" applyProtection="1">
      <alignment horizontal="center" vertical="center"/>
      <protection/>
    </xf>
    <xf numFmtId="0" fontId="19" fillId="0" borderId="25" xfId="26" applyFont="1" applyFill="1" applyBorder="1" applyAlignment="1" applyProtection="1">
      <alignment horizontal="center" vertical="center"/>
      <protection/>
    </xf>
    <xf numFmtId="0" fontId="6" fillId="0" borderId="0" xfId="26" applyFont="1" applyBorder="1" applyAlignment="1" applyProtection="1">
      <alignment horizontal="left" vertical="center" indent="2"/>
      <protection/>
    </xf>
    <xf numFmtId="0" fontId="19" fillId="0" borderId="26" xfId="26" applyFont="1" applyFill="1" applyBorder="1" applyAlignment="1" applyProtection="1">
      <alignment horizontal="center" vertical="center"/>
      <protection/>
    </xf>
    <xf numFmtId="0" fontId="19" fillId="0" borderId="27" xfId="26" applyFont="1" applyFill="1" applyBorder="1" applyAlignment="1" applyProtection="1">
      <alignment horizontal="center" vertical="center"/>
      <protection/>
    </xf>
    <xf numFmtId="0" fontId="33" fillId="0" borderId="0" xfId="26" applyFont="1" applyBorder="1" applyAlignment="1" applyProtection="1">
      <alignment horizontal="left" vertical="center" indent="2"/>
      <protection/>
    </xf>
    <xf numFmtId="0" fontId="4" fillId="0" borderId="0" xfId="26" applyFont="1" applyBorder="1" applyAlignment="1" applyProtection="1">
      <alignment horizontal="left" indent="2"/>
      <protection/>
    </xf>
    <xf numFmtId="0" fontId="6" fillId="0" borderId="0" xfId="26" applyFont="1" applyBorder="1" applyAlignment="1" applyProtection="1">
      <alignment horizontal="left" vertical="top" indent="2"/>
      <protection/>
    </xf>
    <xf numFmtId="0" fontId="41" fillId="0" borderId="0" xfId="26" applyFont="1" applyAlignment="1" applyProtection="1">
      <alignment vertical="center"/>
      <protection/>
    </xf>
    <xf numFmtId="0" fontId="42" fillId="0" borderId="0" xfId="26" applyFont="1" applyAlignment="1" applyProtection="1">
      <alignment vertical="center"/>
      <protection/>
    </xf>
    <xf numFmtId="0" fontId="52" fillId="0" borderId="0" xfId="25" applyFont="1" applyAlignment="1" applyProtection="1">
      <alignment vertical="center"/>
      <protection/>
    </xf>
    <xf numFmtId="0" fontId="52" fillId="0" borderId="0" xfId="25" applyFont="1" applyAlignment="1" applyProtection="1">
      <alignment horizontal="right" vertical="center"/>
      <protection/>
    </xf>
    <xf numFmtId="178" fontId="52" fillId="0" borderId="0" xfId="25" applyNumberFormat="1" applyFont="1" applyAlignment="1" applyProtection="1">
      <alignment vertical="center"/>
      <protection/>
    </xf>
    <xf numFmtId="0" fontId="53" fillId="0" borderId="0" xfId="25" applyFont="1" applyAlignment="1" applyProtection="1">
      <alignment horizontal="left" vertical="center" indent="1"/>
      <protection/>
    </xf>
    <xf numFmtId="0" fontId="53" fillId="0" borderId="0" xfId="25" applyFont="1" applyAlignment="1" applyProtection="1">
      <alignment vertical="center"/>
      <protection/>
    </xf>
    <xf numFmtId="0" fontId="53" fillId="0" borderId="0" xfId="25" applyFont="1" applyAlignment="1" applyProtection="1">
      <alignment horizontal="left" vertical="center"/>
      <protection/>
    </xf>
    <xf numFmtId="0" fontId="54" fillId="3" borderId="28" xfId="25" applyNumberFormat="1" applyFont="1" applyFill="1" applyBorder="1" applyAlignment="1" applyProtection="1">
      <alignment horizontal="center" vertical="center"/>
      <protection locked="0"/>
    </xf>
    <xf numFmtId="178" fontId="53" fillId="0" borderId="0" xfId="25" applyNumberFormat="1" applyFont="1" applyAlignment="1" applyProtection="1">
      <alignment vertical="center"/>
      <protection/>
    </xf>
    <xf numFmtId="0" fontId="53" fillId="0" borderId="0" xfId="25" applyFont="1" applyAlignment="1" applyProtection="1">
      <alignment horizontal="center" vertical="center"/>
      <protection/>
    </xf>
    <xf numFmtId="0" fontId="56" fillId="0" borderId="0" xfId="25" applyFont="1" applyAlignment="1" applyProtection="1">
      <alignment horizontal="right" vertical="center"/>
      <protection/>
    </xf>
    <xf numFmtId="0" fontId="56" fillId="0" borderId="29" xfId="25" applyFont="1" applyBorder="1" applyAlignment="1" applyProtection="1">
      <alignment horizontal="right" vertical="center"/>
      <protection/>
    </xf>
    <xf numFmtId="0" fontId="54" fillId="3" borderId="28" xfId="25" applyFont="1" applyFill="1" applyBorder="1" applyAlignment="1" applyProtection="1">
      <alignment horizontal="center" vertical="center"/>
      <protection locked="0"/>
    </xf>
    <xf numFmtId="0" fontId="54" fillId="3" borderId="30" xfId="25" applyFont="1" applyFill="1" applyBorder="1" applyAlignment="1" applyProtection="1">
      <alignment horizontal="center" vertical="center"/>
      <protection locked="0"/>
    </xf>
    <xf numFmtId="0" fontId="52" fillId="0" borderId="0" xfId="25" applyFont="1" applyBorder="1" applyAlignment="1" applyProtection="1">
      <alignment vertical="center"/>
      <protection/>
    </xf>
    <xf numFmtId="178" fontId="56" fillId="0" borderId="0" xfId="25" applyNumberFormat="1" applyFont="1" applyBorder="1" applyAlignment="1" applyProtection="1">
      <alignment horizontal="right" vertical="center"/>
      <protection/>
    </xf>
    <xf numFmtId="0" fontId="56" fillId="0" borderId="31" xfId="25" applyFont="1" applyBorder="1" applyAlignment="1" applyProtection="1">
      <alignment horizontal="center" vertical="center"/>
      <protection/>
    </xf>
    <xf numFmtId="0" fontId="44" fillId="0" borderId="0" xfId="25" applyFont="1" applyFill="1" applyAlignment="1" applyProtection="1">
      <alignment horizontal="center" vertical="center"/>
      <protection/>
    </xf>
    <xf numFmtId="0" fontId="44" fillId="0" borderId="0" xfId="25" applyFont="1" applyAlignment="1" applyProtection="1">
      <alignment vertical="center"/>
      <protection/>
    </xf>
    <xf numFmtId="0" fontId="44" fillId="0" borderId="0" xfId="25" applyFont="1" applyAlignment="1" applyProtection="1">
      <alignment horizontal="center" vertical="center"/>
      <protection/>
    </xf>
    <xf numFmtId="181" fontId="54" fillId="3" borderId="32" xfId="25" applyNumberFormat="1" applyFont="1" applyFill="1" applyBorder="1" applyAlignment="1" applyProtection="1">
      <alignment horizontal="center" vertical="center"/>
      <protection locked="0"/>
    </xf>
    <xf numFmtId="0" fontId="57" fillId="0" borderId="0" xfId="25" applyFont="1" applyBorder="1" applyAlignment="1" applyProtection="1">
      <alignment vertical="center"/>
      <protection/>
    </xf>
    <xf numFmtId="182" fontId="57" fillId="0" borderId="14" xfId="25" applyNumberFormat="1" applyFont="1" applyFill="1" applyBorder="1" applyAlignment="1" applyProtection="1">
      <alignment horizontal="center" vertical="center"/>
      <protection/>
    </xf>
    <xf numFmtId="182" fontId="57" fillId="0" borderId="14" xfId="25" applyNumberFormat="1" applyFont="1" applyBorder="1" applyAlignment="1" applyProtection="1">
      <alignment horizontal="center" vertical="center"/>
      <protection/>
    </xf>
    <xf numFmtId="0" fontId="52" fillId="4" borderId="0" xfId="25" applyFont="1" applyFill="1" applyAlignment="1" applyProtection="1">
      <alignment vertical="center"/>
      <protection/>
    </xf>
    <xf numFmtId="178" fontId="52" fillId="4" borderId="0" xfId="25" applyNumberFormat="1" applyFont="1" applyFill="1" applyAlignment="1" applyProtection="1">
      <alignment vertical="center"/>
      <protection/>
    </xf>
    <xf numFmtId="0" fontId="54" fillId="4" borderId="0" xfId="25" applyFont="1" applyFill="1" applyAlignment="1" applyProtection="1">
      <alignment horizontal="left" vertical="center"/>
      <protection/>
    </xf>
    <xf numFmtId="0" fontId="60" fillId="0" borderId="0" xfId="25" applyFont="1" applyAlignment="1" applyProtection="1">
      <alignment vertical="center"/>
      <protection/>
    </xf>
    <xf numFmtId="0" fontId="5" fillId="0" borderId="0" xfId="25" applyFont="1" applyAlignment="1">
      <alignment vertical="center"/>
      <protection/>
    </xf>
    <xf numFmtId="179" fontId="26" fillId="0" borderId="28" xfId="25" applyNumberFormat="1" applyFont="1" applyBorder="1" applyAlignment="1">
      <alignment vertical="center"/>
      <protection/>
    </xf>
    <xf numFmtId="0" fontId="5" fillId="0" borderId="0" xfId="25" applyFont="1" applyAlignment="1">
      <alignment horizontal="center" vertical="center"/>
      <protection/>
    </xf>
    <xf numFmtId="14" fontId="26" fillId="0" borderId="0" xfId="25" applyNumberFormat="1" applyFont="1" applyAlignment="1">
      <alignment horizontal="center" vertical="center"/>
      <protection/>
    </xf>
    <xf numFmtId="0" fontId="5" fillId="3" borderId="33" xfId="25" applyFont="1" applyFill="1" applyBorder="1" applyAlignment="1">
      <alignment horizontal="center" vertical="center"/>
      <protection/>
    </xf>
    <xf numFmtId="0" fontId="5" fillId="3" borderId="34" xfId="25" applyFont="1" applyFill="1" applyBorder="1" applyAlignment="1">
      <alignment horizontal="center" vertical="center"/>
      <protection/>
    </xf>
    <xf numFmtId="0" fontId="5" fillId="2" borderId="33" xfId="25" applyFont="1" applyFill="1" applyBorder="1" applyAlignment="1">
      <alignment horizontal="center" vertical="center"/>
      <protection/>
    </xf>
    <xf numFmtId="0" fontId="5" fillId="2" borderId="34" xfId="25" applyFont="1" applyFill="1" applyBorder="1" applyAlignment="1">
      <alignment horizontal="center" vertical="center"/>
      <protection/>
    </xf>
    <xf numFmtId="0" fontId="5" fillId="3" borderId="35" xfId="25" applyFont="1" applyFill="1" applyBorder="1" applyAlignment="1">
      <alignment horizontal="center" vertical="center"/>
      <protection/>
    </xf>
    <xf numFmtId="0" fontId="5" fillId="3" borderId="36" xfId="25" applyFont="1" applyFill="1" applyBorder="1" applyAlignment="1">
      <alignment horizontal="center" vertical="center"/>
      <protection/>
    </xf>
    <xf numFmtId="0" fontId="5" fillId="2" borderId="35" xfId="25" applyFont="1" applyFill="1" applyBorder="1" applyAlignment="1">
      <alignment horizontal="center" vertical="center"/>
      <protection/>
    </xf>
    <xf numFmtId="0" fontId="5" fillId="2" borderId="36" xfId="25" applyFont="1" applyFill="1" applyBorder="1" applyAlignment="1">
      <alignment horizontal="center" vertical="center"/>
      <protection/>
    </xf>
    <xf numFmtId="171" fontId="5" fillId="3" borderId="37" xfId="25" applyNumberFormat="1" applyFont="1" applyFill="1" applyBorder="1" applyAlignment="1">
      <alignment vertical="center"/>
      <protection/>
    </xf>
    <xf numFmtId="171" fontId="5" fillId="3" borderId="38" xfId="25" applyNumberFormat="1" applyFont="1" applyFill="1" applyBorder="1" applyAlignment="1">
      <alignment vertical="center"/>
      <protection/>
    </xf>
    <xf numFmtId="171" fontId="5" fillId="2" borderId="37" xfId="25" applyNumberFormat="1" applyFont="1" applyFill="1" applyBorder="1" applyAlignment="1">
      <alignment vertical="center"/>
      <protection/>
    </xf>
    <xf numFmtId="171" fontId="5" fillId="2" borderId="38" xfId="25" applyNumberFormat="1" applyFont="1" applyFill="1" applyBorder="1" applyAlignment="1">
      <alignment vertical="center"/>
      <protection/>
    </xf>
    <xf numFmtId="0" fontId="5" fillId="3" borderId="39" xfId="25" applyFont="1" applyFill="1" applyBorder="1" applyAlignment="1">
      <alignment horizontal="center" vertical="center"/>
      <protection/>
    </xf>
    <xf numFmtId="0" fontId="5" fillId="3" borderId="40" xfId="25" applyFont="1" applyFill="1" applyBorder="1" applyAlignment="1">
      <alignment horizontal="center" vertical="center"/>
      <protection/>
    </xf>
    <xf numFmtId="171" fontId="5" fillId="3" borderId="41" xfId="25" applyNumberFormat="1" applyFont="1" applyFill="1" applyBorder="1" applyAlignment="1">
      <alignment vertical="center"/>
      <protection/>
    </xf>
    <xf numFmtId="171" fontId="5" fillId="3" borderId="15" xfId="25" applyNumberFormat="1" applyFont="1" applyFill="1" applyBorder="1" applyAlignment="1">
      <alignment vertical="center"/>
      <protection/>
    </xf>
    <xf numFmtId="0" fontId="5" fillId="2" borderId="39" xfId="25" applyFont="1" applyFill="1" applyBorder="1" applyAlignment="1">
      <alignment horizontal="center" vertical="center"/>
      <protection/>
    </xf>
    <xf numFmtId="0" fontId="5" fillId="2" borderId="40" xfId="25" applyFont="1" applyFill="1" applyBorder="1" applyAlignment="1">
      <alignment horizontal="center" vertical="center"/>
      <protection/>
    </xf>
    <xf numFmtId="171" fontId="5" fillId="2" borderId="41" xfId="25" applyNumberFormat="1" applyFont="1" applyFill="1" applyBorder="1" applyAlignment="1">
      <alignment vertical="center"/>
      <protection/>
    </xf>
    <xf numFmtId="171" fontId="5" fillId="2" borderId="15" xfId="25" applyNumberFormat="1" applyFont="1" applyFill="1" applyBorder="1" applyAlignment="1">
      <alignment vertical="center"/>
      <protection/>
    </xf>
    <xf numFmtId="0" fontId="5" fillId="3" borderId="42" xfId="25" applyFont="1" applyFill="1" applyBorder="1" applyAlignment="1">
      <alignment horizontal="center" vertical="center"/>
      <protection/>
    </xf>
    <xf numFmtId="0" fontId="5" fillId="3" borderId="43" xfId="25" applyFont="1" applyFill="1" applyBorder="1" applyAlignment="1">
      <alignment horizontal="center" vertical="center"/>
      <protection/>
    </xf>
    <xf numFmtId="171" fontId="5" fillId="3" borderId="44" xfId="25" applyNumberFormat="1" applyFont="1" applyFill="1" applyBorder="1" applyAlignment="1">
      <alignment vertical="center"/>
      <protection/>
    </xf>
    <xf numFmtId="171" fontId="5" fillId="3" borderId="3" xfId="25" applyNumberFormat="1" applyFont="1" applyFill="1" applyBorder="1" applyAlignment="1">
      <alignment vertical="center"/>
      <protection/>
    </xf>
    <xf numFmtId="0" fontId="5" fillId="2" borderId="42" xfId="25" applyFont="1" applyFill="1" applyBorder="1" applyAlignment="1">
      <alignment horizontal="center" vertical="center"/>
      <protection/>
    </xf>
    <xf numFmtId="0" fontId="5" fillId="2" borderId="43" xfId="25" applyFont="1" applyFill="1" applyBorder="1" applyAlignment="1">
      <alignment horizontal="center" vertical="center"/>
      <protection/>
    </xf>
    <xf numFmtId="171" fontId="5" fillId="2" borderId="44" xfId="25" applyNumberFormat="1" applyFont="1" applyFill="1" applyBorder="1" applyAlignment="1">
      <alignment vertical="center"/>
      <protection/>
    </xf>
    <xf numFmtId="171" fontId="5" fillId="2" borderId="3" xfId="25" applyNumberFormat="1" applyFont="1" applyFill="1" applyBorder="1" applyAlignment="1">
      <alignment vertical="center"/>
      <protection/>
    </xf>
    <xf numFmtId="0" fontId="52" fillId="0" borderId="0" xfId="27" applyFont="1" applyFill="1">
      <alignment/>
      <protection/>
    </xf>
    <xf numFmtId="0" fontId="52" fillId="0" borderId="0" xfId="27" applyFont="1" applyFill="1" applyAlignment="1">
      <alignment horizontal="left" indent="1"/>
      <protection/>
    </xf>
    <xf numFmtId="171" fontId="52" fillId="0" borderId="0" xfId="27" applyNumberFormat="1" applyFont="1" applyFill="1">
      <alignment/>
      <protection/>
    </xf>
    <xf numFmtId="0" fontId="53" fillId="0" borderId="0" xfId="27" applyFont="1" applyFill="1" applyAlignment="1">
      <alignment horizontal="center"/>
      <protection/>
    </xf>
    <xf numFmtId="0" fontId="53" fillId="2" borderId="28" xfId="27" applyFont="1" applyFill="1" applyBorder="1" applyAlignment="1">
      <alignment horizontal="center"/>
      <protection/>
    </xf>
    <xf numFmtId="171" fontId="53" fillId="2" borderId="28" xfId="27" applyNumberFormat="1" applyFont="1" applyFill="1" applyBorder="1" applyAlignment="1">
      <alignment horizontal="center"/>
      <protection/>
    </xf>
    <xf numFmtId="0" fontId="44" fillId="0" borderId="34" xfId="27" applyFont="1" applyFill="1" applyBorder="1" applyAlignment="1">
      <alignment horizontal="center"/>
      <protection/>
    </xf>
    <xf numFmtId="180" fontId="44" fillId="0" borderId="34" xfId="27" applyNumberFormat="1" applyFont="1" applyFill="1" applyBorder="1" applyAlignment="1" applyProtection="1">
      <alignment horizontal="center"/>
      <protection locked="0"/>
    </xf>
    <xf numFmtId="0" fontId="44" fillId="0" borderId="40" xfId="27" applyFont="1" applyFill="1" applyBorder="1" applyAlignment="1">
      <alignment horizontal="center"/>
      <protection/>
    </xf>
    <xf numFmtId="180" fontId="44" fillId="0" borderId="40" xfId="27" applyNumberFormat="1" applyFont="1" applyFill="1" applyBorder="1" applyAlignment="1" applyProtection="1">
      <alignment horizontal="center"/>
      <protection locked="0"/>
    </xf>
    <xf numFmtId="180" fontId="53" fillId="0" borderId="40" xfId="27" applyNumberFormat="1" applyFont="1" applyFill="1" applyBorder="1" applyAlignment="1" applyProtection="1">
      <alignment horizontal="center"/>
      <protection locked="0"/>
    </xf>
    <xf numFmtId="0" fontId="44" fillId="0" borderId="45" xfId="27" applyFont="1" applyFill="1" applyBorder="1" applyAlignment="1">
      <alignment horizontal="center" wrapText="1"/>
      <protection/>
    </xf>
    <xf numFmtId="180" fontId="53" fillId="0" borderId="45" xfId="27" applyNumberFormat="1" applyFont="1" applyFill="1" applyBorder="1" applyAlignment="1" applyProtection="1">
      <alignment horizontal="center"/>
      <protection locked="0"/>
    </xf>
    <xf numFmtId="0" fontId="40" fillId="0" borderId="0" xfId="25" applyFont="1" applyAlignment="1" applyProtection="1">
      <alignment vertical="center"/>
      <protection/>
    </xf>
    <xf numFmtId="0" fontId="40" fillId="0" borderId="0" xfId="25" applyFont="1" applyAlignment="1" applyProtection="1">
      <alignment horizontal="center" vertical="center"/>
      <protection/>
    </xf>
    <xf numFmtId="0" fontId="54" fillId="0" borderId="0" xfId="25" applyFont="1" applyAlignment="1" applyProtection="1">
      <alignment horizontal="left" vertical="center"/>
      <protection/>
    </xf>
    <xf numFmtId="0" fontId="48" fillId="0" borderId="0" xfId="25" applyFont="1" applyFill="1" applyAlignment="1" applyProtection="1">
      <alignment horizontal="center" vertical="center" wrapText="1"/>
      <protection/>
    </xf>
    <xf numFmtId="180" fontId="48" fillId="0" borderId="0" xfId="25" applyNumberFormat="1" applyFont="1" applyFill="1" applyBorder="1" applyAlignment="1" applyProtection="1">
      <alignment horizontal="center" vertical="center"/>
      <protection/>
    </xf>
    <xf numFmtId="164" fontId="60" fillId="2" borderId="46" xfId="25" applyNumberFormat="1" applyFont="1" applyFill="1" applyBorder="1" applyAlignment="1" applyProtection="1">
      <alignment horizontal="center" vertical="center"/>
      <protection/>
    </xf>
    <xf numFmtId="184" fontId="60" fillId="2" borderId="30" xfId="25" applyNumberFormat="1" applyFont="1" applyFill="1" applyBorder="1" applyAlignment="1" applyProtection="1">
      <alignment horizontal="center" vertical="center"/>
      <protection/>
    </xf>
    <xf numFmtId="183" fontId="60" fillId="2" borderId="46" xfId="25" applyNumberFormat="1" applyFont="1" applyFill="1" applyBorder="1" applyAlignment="1" applyProtection="1">
      <alignment horizontal="center" vertical="center"/>
      <protection/>
    </xf>
    <xf numFmtId="171" fontId="40" fillId="5" borderId="47" xfId="25" applyNumberFormat="1" applyFont="1" applyFill="1" applyBorder="1" applyAlignment="1" applyProtection="1">
      <alignment vertical="center" wrapText="1"/>
      <protection/>
    </xf>
    <xf numFmtId="173" fontId="48" fillId="5" borderId="48" xfId="25" applyNumberFormat="1" applyFont="1" applyFill="1" applyBorder="1" applyAlignment="1" applyProtection="1">
      <alignment horizontal="right" vertical="center"/>
      <protection/>
    </xf>
    <xf numFmtId="171" fontId="40" fillId="5" borderId="49" xfId="25" applyNumberFormat="1" applyFont="1" applyFill="1" applyBorder="1" applyAlignment="1" applyProtection="1">
      <alignment vertical="center" wrapText="1"/>
      <protection/>
    </xf>
    <xf numFmtId="171" fontId="48" fillId="5" borderId="50" xfId="25" applyNumberFormat="1" applyFont="1" applyFill="1" applyBorder="1" applyAlignment="1" applyProtection="1">
      <alignment horizontal="right" vertical="center"/>
      <protection/>
    </xf>
    <xf numFmtId="173" fontId="48" fillId="5" borderId="51" xfId="25" applyNumberFormat="1" applyFont="1" applyFill="1" applyBorder="1" applyAlignment="1" applyProtection="1">
      <alignment horizontal="right" vertical="center"/>
      <protection/>
    </xf>
    <xf numFmtId="171" fontId="40" fillId="5" borderId="52" xfId="25" applyNumberFormat="1" applyFont="1" applyFill="1" applyBorder="1" applyAlignment="1" applyProtection="1">
      <alignment vertical="center"/>
      <protection/>
    </xf>
    <xf numFmtId="171" fontId="40" fillId="5" borderId="53" xfId="25" applyNumberFormat="1" applyFont="1" applyFill="1" applyBorder="1" applyAlignment="1" applyProtection="1">
      <alignment vertical="center"/>
      <protection/>
    </xf>
    <xf numFmtId="173" fontId="48" fillId="5" borderId="54" xfId="25" applyNumberFormat="1" applyFont="1" applyFill="1" applyBorder="1" applyAlignment="1" applyProtection="1">
      <alignment horizontal="right" vertical="center"/>
      <protection/>
    </xf>
    <xf numFmtId="171" fontId="40" fillId="5" borderId="55" xfId="25" applyNumberFormat="1" applyFont="1" applyFill="1" applyBorder="1" applyAlignment="1" applyProtection="1">
      <alignment vertical="center"/>
      <protection/>
    </xf>
    <xf numFmtId="0" fontId="48" fillId="0" borderId="0" xfId="25" applyFont="1" applyAlignment="1" applyProtection="1">
      <alignment vertical="center"/>
      <protection/>
    </xf>
    <xf numFmtId="171" fontId="61" fillId="5" borderId="53" xfId="25" applyNumberFormat="1" applyFont="1" applyFill="1" applyBorder="1" applyAlignment="1" applyProtection="1">
      <alignment vertical="center"/>
      <protection/>
    </xf>
    <xf numFmtId="171" fontId="61" fillId="5" borderId="55" xfId="25" applyNumberFormat="1" applyFont="1" applyFill="1" applyBorder="1" applyAlignment="1" applyProtection="1">
      <alignment vertical="center"/>
      <protection/>
    </xf>
    <xf numFmtId="171" fontId="15" fillId="5" borderId="32" xfId="25" applyNumberFormat="1" applyFont="1" applyFill="1" applyBorder="1" applyAlignment="1" applyProtection="1">
      <alignment horizontal="centerContinuous" vertical="center"/>
      <protection/>
    </xf>
    <xf numFmtId="173" fontId="48" fillId="5" borderId="56" xfId="25" applyNumberFormat="1" applyFont="1" applyFill="1" applyBorder="1" applyAlignment="1" applyProtection="1">
      <alignment horizontal="right" vertical="center"/>
      <protection/>
    </xf>
    <xf numFmtId="0" fontId="64" fillId="0" borderId="0" xfId="26" applyFont="1" applyAlignment="1" applyProtection="1">
      <alignment vertical="center"/>
      <protection/>
    </xf>
    <xf numFmtId="0" fontId="65" fillId="0" borderId="0" xfId="26" applyFont="1" applyAlignment="1" applyProtection="1">
      <alignment horizontal="center" vertical="center"/>
      <protection/>
    </xf>
    <xf numFmtId="0" fontId="66" fillId="0" borderId="0" xfId="26" applyFont="1" applyAlignment="1" applyProtection="1">
      <alignment horizontal="center" vertical="center"/>
      <protection/>
    </xf>
    <xf numFmtId="0" fontId="67" fillId="0" borderId="0" xfId="26" applyFont="1" applyAlignment="1" applyProtection="1">
      <alignment horizontal="right" vertical="center"/>
      <protection/>
    </xf>
    <xf numFmtId="176" fontId="68" fillId="0" borderId="14" xfId="26" applyNumberFormat="1" applyFont="1" applyBorder="1" applyAlignment="1" applyProtection="1">
      <alignment horizontal="center" vertical="center"/>
      <protection locked="0"/>
    </xf>
    <xf numFmtId="0" fontId="67" fillId="0" borderId="0" xfId="26" applyFont="1" applyAlignment="1" applyProtection="1">
      <alignment horizontal="center" vertical="center"/>
      <protection/>
    </xf>
    <xf numFmtId="0" fontId="67" fillId="0" borderId="0" xfId="26" applyFont="1" applyBorder="1" applyAlignment="1" applyProtection="1">
      <alignment horizontal="right" vertical="center"/>
      <protection/>
    </xf>
    <xf numFmtId="0" fontId="65" fillId="0" borderId="0" xfId="26" applyFont="1" applyBorder="1" applyAlignment="1" applyProtection="1">
      <alignment horizontal="center" vertical="center"/>
      <protection/>
    </xf>
    <xf numFmtId="176" fontId="68" fillId="0" borderId="57" xfId="26" applyNumberFormat="1" applyFont="1" applyBorder="1" applyAlignment="1" applyProtection="1">
      <alignment horizontal="center" vertical="center"/>
      <protection/>
    </xf>
    <xf numFmtId="0" fontId="67" fillId="0" borderId="0" xfId="26" applyFont="1" applyBorder="1" applyAlignment="1" applyProtection="1">
      <alignment horizontal="center" vertical="center"/>
      <protection/>
    </xf>
    <xf numFmtId="14" fontId="68" fillId="0" borderId="57" xfId="26" applyNumberFormat="1" applyFont="1" applyBorder="1" applyAlignment="1" applyProtection="1">
      <alignment horizontal="center" vertical="center"/>
      <protection/>
    </xf>
    <xf numFmtId="0" fontId="69" fillId="0" borderId="0" xfId="26" applyFont="1" applyAlignment="1" applyProtection="1">
      <alignment vertical="center"/>
      <protection/>
    </xf>
    <xf numFmtId="0" fontId="70" fillId="0" borderId="0" xfId="26" applyFont="1" applyAlignment="1" applyProtection="1">
      <alignment horizontal="right" vertical="center"/>
      <protection/>
    </xf>
    <xf numFmtId="172" fontId="71" fillId="0" borderId="14" xfId="26" applyNumberFormat="1" applyFont="1" applyBorder="1" applyAlignment="1" applyProtection="1">
      <alignment horizontal="center" vertical="center"/>
      <protection locked="0"/>
    </xf>
    <xf numFmtId="0" fontId="70" fillId="0" borderId="0" xfId="26" applyFont="1" applyAlignment="1" applyProtection="1">
      <alignment horizontal="center" vertical="center"/>
      <protection/>
    </xf>
    <xf numFmtId="0" fontId="64" fillId="0" borderId="0" xfId="26" applyFont="1" applyBorder="1" applyAlignment="1" applyProtection="1">
      <alignment vertical="center"/>
      <protection/>
    </xf>
    <xf numFmtId="0" fontId="65" fillId="0" borderId="0" xfId="26" applyFont="1" applyAlignment="1" applyProtection="1">
      <alignment horizontal="right" vertical="center"/>
      <protection/>
    </xf>
    <xf numFmtId="176" fontId="68" fillId="0" borderId="0" xfId="26" applyNumberFormat="1" applyFont="1" applyBorder="1" applyAlignment="1" applyProtection="1">
      <alignment horizontal="center" vertical="center"/>
      <protection/>
    </xf>
    <xf numFmtId="14" fontId="68" fillId="0" borderId="0" xfId="26" applyNumberFormat="1" applyFont="1" applyBorder="1" applyAlignment="1" applyProtection="1">
      <alignment horizontal="center" vertical="center"/>
      <protection/>
    </xf>
    <xf numFmtId="0" fontId="27" fillId="0" borderId="0" xfId="26" applyFont="1" applyAlignment="1" applyProtection="1">
      <alignment vertical="center"/>
      <protection/>
    </xf>
    <xf numFmtId="0" fontId="64" fillId="0" borderId="0" xfId="26" applyFont="1" applyAlignment="1" applyProtection="1">
      <alignment horizontal="right" vertical="center"/>
      <protection/>
    </xf>
    <xf numFmtId="0" fontId="72" fillId="0" borderId="28" xfId="26" applyFont="1" applyBorder="1" applyAlignment="1" applyProtection="1">
      <alignment horizontal="center" vertical="center"/>
      <protection locked="0"/>
    </xf>
    <xf numFmtId="171" fontId="19" fillId="0" borderId="0" xfId="26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right" vertical="center" wrapText="1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1" fillId="5" borderId="58" xfId="0" applyFont="1" applyFill="1" applyBorder="1" applyAlignment="1" applyProtection="1">
      <alignment horizontal="center" vertical="center"/>
      <protection hidden="1"/>
    </xf>
    <xf numFmtId="49" fontId="11" fillId="0" borderId="59" xfId="0" applyNumberFormat="1" applyFont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49" fontId="11" fillId="0" borderId="60" xfId="0" applyNumberFormat="1" applyFont="1" applyBorder="1" applyAlignment="1" applyProtection="1">
      <alignment horizontal="center" vertical="center" wrapText="1"/>
      <protection hidden="1"/>
    </xf>
    <xf numFmtId="49" fontId="11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62" xfId="0" applyFont="1" applyFill="1" applyBorder="1" applyAlignment="1" applyProtection="1">
      <alignment horizontal="center" vertical="center"/>
      <protection hidden="1"/>
    </xf>
    <xf numFmtId="0" fontId="11" fillId="6" borderId="63" xfId="0" applyFont="1" applyFill="1" applyBorder="1" applyAlignment="1" applyProtection="1">
      <alignment horizontal="center" vertical="center"/>
      <protection hidden="1"/>
    </xf>
    <xf numFmtId="49" fontId="11" fillId="0" borderId="64" xfId="0" applyNumberFormat="1" applyFont="1" applyBorder="1" applyAlignment="1" applyProtection="1">
      <alignment horizontal="center" vertical="center"/>
      <protection hidden="1"/>
    </xf>
    <xf numFmtId="49" fontId="11" fillId="0" borderId="65" xfId="0" applyNumberFormat="1" applyFont="1" applyBorder="1" applyAlignment="1" applyProtection="1">
      <alignment horizontal="center" vertical="center" wrapText="1"/>
      <protection hidden="1"/>
    </xf>
    <xf numFmtId="0" fontId="11" fillId="5" borderId="40" xfId="0" applyFont="1" applyFill="1" applyBorder="1" applyAlignment="1" applyProtection="1">
      <alignment horizontal="center" vertical="center"/>
      <protection hidden="1"/>
    </xf>
    <xf numFmtId="0" fontId="11" fillId="5" borderId="57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right" vertical="center" wrapText="1"/>
      <protection hidden="1"/>
    </xf>
    <xf numFmtId="0" fontId="11" fillId="6" borderId="40" xfId="0" applyFont="1" applyFill="1" applyBorder="1" applyAlignment="1" applyProtection="1">
      <alignment horizontal="center" vertical="center"/>
      <protection hidden="1"/>
    </xf>
    <xf numFmtId="0" fontId="11" fillId="6" borderId="57" xfId="0" applyFont="1" applyFill="1" applyBorder="1" applyAlignment="1" applyProtection="1">
      <alignment horizontal="center" vertical="center"/>
      <protection hidden="1"/>
    </xf>
    <xf numFmtId="49" fontId="11" fillId="0" borderId="66" xfId="0" applyNumberFormat="1" applyFont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5" borderId="6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horizontal="right" vertical="center" wrapText="1"/>
      <protection hidden="1"/>
    </xf>
    <xf numFmtId="185" fontId="62" fillId="0" borderId="0" xfId="15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0" fontId="78" fillId="0" borderId="0" xfId="0" applyFont="1" applyBorder="1" applyAlignment="1" applyProtection="1">
      <alignment horizontal="left" vertical="center" indent="1"/>
      <protection hidden="1"/>
    </xf>
    <xf numFmtId="0" fontId="60" fillId="0" borderId="0" xfId="0" applyFont="1" applyBorder="1" applyAlignment="1" applyProtection="1">
      <alignment horizontal="left" vertical="center" indent="1"/>
      <protection hidden="1"/>
    </xf>
    <xf numFmtId="0" fontId="11" fillId="0" borderId="0" xfId="24" applyFont="1" applyFill="1" applyBorder="1" applyAlignment="1" applyProtection="1">
      <alignment horizontal="center" vertical="center"/>
      <protection hidden="1"/>
    </xf>
    <xf numFmtId="185" fontId="77" fillId="0" borderId="0" xfId="15" applyNumberFormat="1" applyFont="1" applyAlignment="1" applyProtection="1">
      <alignment horizontal="center" vertical="center" wrapText="1"/>
      <protection hidden="1"/>
    </xf>
    <xf numFmtId="0" fontId="80" fillId="0" borderId="52" xfId="24" applyFont="1" applyBorder="1" applyAlignment="1" applyProtection="1">
      <alignment horizontal="center" vertical="center"/>
      <protection hidden="1"/>
    </xf>
    <xf numFmtId="0" fontId="80" fillId="0" borderId="14" xfId="24" applyFont="1" applyBorder="1" applyAlignment="1" applyProtection="1">
      <alignment horizontal="center" vertical="center"/>
      <protection hidden="1"/>
    </xf>
    <xf numFmtId="0" fontId="80" fillId="0" borderId="51" xfId="24" applyFont="1" applyBorder="1" applyAlignment="1" applyProtection="1">
      <alignment horizontal="center" vertical="center"/>
      <protection hidden="1"/>
    </xf>
    <xf numFmtId="0" fontId="80" fillId="0" borderId="0" xfId="24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right" vertical="center" wrapText="1"/>
      <protection hidden="1"/>
    </xf>
    <xf numFmtId="0" fontId="61" fillId="0" borderId="0" xfId="0" applyFont="1" applyBorder="1" applyAlignment="1" applyProtection="1">
      <alignment horizontal="righ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 locked="0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11" fillId="5" borderId="52" xfId="24" applyFont="1" applyFill="1" applyBorder="1" applyAlignment="1" applyProtection="1">
      <alignment horizontal="center" vertical="center"/>
      <protection hidden="1"/>
    </xf>
    <xf numFmtId="0" fontId="11" fillId="5" borderId="14" xfId="24" applyFont="1" applyFill="1" applyBorder="1" applyAlignment="1" applyProtection="1">
      <alignment horizontal="center" vertical="center"/>
      <protection hidden="1"/>
    </xf>
    <xf numFmtId="0" fontId="11" fillId="5" borderId="51" xfId="24" applyFont="1" applyFill="1" applyBorder="1" applyAlignment="1" applyProtection="1">
      <alignment horizontal="center" vertical="center"/>
      <protection hidden="1"/>
    </xf>
    <xf numFmtId="0" fontId="11" fillId="0" borderId="0" xfId="24" applyFont="1" applyFill="1" applyBorder="1" applyAlignment="1" applyProtection="1">
      <alignment horizontal="left" vertical="center" indent="1"/>
      <protection hidden="1"/>
    </xf>
    <xf numFmtId="0" fontId="61" fillId="0" borderId="0" xfId="0" applyFont="1" applyAlignment="1" applyProtection="1">
      <alignment horizontal="left" vertical="center" wrapText="1" indent="1"/>
      <protection hidden="1"/>
    </xf>
    <xf numFmtId="0" fontId="60" fillId="0" borderId="0" xfId="0" applyFont="1" applyAlignment="1" applyProtection="1">
      <alignment horizontal="left" vertical="center" wrapText="1" indent="1"/>
      <protection hidden="1"/>
    </xf>
    <xf numFmtId="0" fontId="11" fillId="0" borderId="52" xfId="24" applyFont="1" applyBorder="1" applyAlignment="1" applyProtection="1">
      <alignment horizontal="center" vertical="center"/>
      <protection hidden="1"/>
    </xf>
    <xf numFmtId="0" fontId="11" fillId="0" borderId="14" xfId="24" applyFont="1" applyBorder="1" applyAlignment="1" applyProtection="1">
      <alignment horizontal="center" vertical="center"/>
      <protection hidden="1"/>
    </xf>
    <xf numFmtId="0" fontId="11" fillId="0" borderId="51" xfId="24" applyFont="1" applyBorder="1" applyAlignment="1" applyProtection="1">
      <alignment horizontal="center" vertical="center"/>
      <protection hidden="1"/>
    </xf>
    <xf numFmtId="0" fontId="11" fillId="0" borderId="14" xfId="24" applyFont="1" applyFill="1" applyBorder="1" applyAlignment="1" applyProtection="1">
      <alignment horizontal="center" vertical="center"/>
      <protection hidden="1"/>
    </xf>
    <xf numFmtId="0" fontId="11" fillId="0" borderId="54" xfId="24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55" xfId="24" applyFont="1" applyBorder="1" applyAlignment="1" applyProtection="1">
      <alignment horizontal="center" vertical="center"/>
      <protection hidden="1"/>
    </xf>
    <xf numFmtId="0" fontId="11" fillId="0" borderId="68" xfId="24" applyFont="1" applyBorder="1" applyAlignment="1" applyProtection="1">
      <alignment horizontal="center" vertical="center"/>
      <protection hidden="1"/>
    </xf>
    <xf numFmtId="0" fontId="10" fillId="0" borderId="0" xfId="24" applyFont="1" applyAlignment="1" applyProtection="1">
      <alignment vertical="center"/>
      <protection hidden="1"/>
    </xf>
    <xf numFmtId="0" fontId="10" fillId="0" borderId="0" xfId="24" applyFont="1" applyFill="1" applyBorder="1" applyAlignment="1" applyProtection="1">
      <alignment vertical="center"/>
      <protection hidden="1"/>
    </xf>
    <xf numFmtId="0" fontId="10" fillId="6" borderId="0" xfId="24" applyFont="1" applyFill="1" applyAlignment="1" applyProtection="1">
      <alignment vertical="center"/>
      <protection hidden="1"/>
    </xf>
    <xf numFmtId="0" fontId="12" fillId="0" borderId="0" xfId="24" applyFont="1" applyFill="1" applyBorder="1" applyAlignment="1" applyProtection="1">
      <alignment horizontal="center" vertical="center"/>
      <protection hidden="1"/>
    </xf>
    <xf numFmtId="0" fontId="80" fillId="0" borderId="52" xfId="24" applyFont="1" applyBorder="1" applyAlignment="1" applyProtection="1">
      <alignment horizontal="center" vertical="center"/>
      <protection hidden="1"/>
    </xf>
    <xf numFmtId="0" fontId="80" fillId="0" borderId="14" xfId="24" applyFont="1" applyBorder="1" applyAlignment="1" applyProtection="1">
      <alignment horizontal="center" vertical="center"/>
      <protection hidden="1"/>
    </xf>
    <xf numFmtId="0" fontId="80" fillId="0" borderId="51" xfId="24" applyFont="1" applyBorder="1" applyAlignment="1" applyProtection="1">
      <alignment horizontal="center" vertical="center"/>
      <protection hidden="1"/>
    </xf>
    <xf numFmtId="0" fontId="13" fillId="0" borderId="0" xfId="24" applyFont="1" applyFill="1" applyBorder="1" applyAlignment="1" applyProtection="1">
      <alignment horizontal="center" vertical="center"/>
      <protection hidden="1"/>
    </xf>
    <xf numFmtId="0" fontId="11" fillId="5" borderId="52" xfId="24" applyFont="1" applyFill="1" applyBorder="1" applyAlignment="1" applyProtection="1">
      <alignment horizontal="center" vertical="center"/>
      <protection hidden="1"/>
    </xf>
    <xf numFmtId="0" fontId="11" fillId="5" borderId="14" xfId="24" applyFont="1" applyFill="1" applyBorder="1" applyAlignment="1" applyProtection="1">
      <alignment horizontal="center" vertical="center"/>
      <protection hidden="1"/>
    </xf>
    <xf numFmtId="0" fontId="11" fillId="5" borderId="51" xfId="24" applyFont="1" applyFill="1" applyBorder="1" applyAlignment="1" applyProtection="1">
      <alignment horizontal="center" vertical="center"/>
      <protection hidden="1"/>
    </xf>
    <xf numFmtId="0" fontId="10" fillId="0" borderId="0" xfId="24" applyFont="1" applyFill="1" applyBorder="1" applyAlignment="1" applyProtection="1">
      <alignment horizontal="left" vertical="center" indent="1"/>
      <protection hidden="1"/>
    </xf>
    <xf numFmtId="0" fontId="11" fillId="0" borderId="52" xfId="24" applyFont="1" applyBorder="1" applyAlignment="1" applyProtection="1">
      <alignment horizontal="center" vertical="center"/>
      <protection hidden="1"/>
    </xf>
    <xf numFmtId="0" fontId="11" fillId="0" borderId="14" xfId="24" applyFont="1" applyBorder="1" applyAlignment="1" applyProtection="1">
      <alignment horizontal="center" vertical="center"/>
      <protection hidden="1"/>
    </xf>
    <xf numFmtId="0" fontId="11" fillId="0" borderId="51" xfId="24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84" fillId="0" borderId="0" xfId="16" applyFont="1" applyBorder="1" applyAlignment="1" applyProtection="1">
      <alignment horizontal="center" vertical="center"/>
      <protection hidden="1"/>
    </xf>
    <xf numFmtId="0" fontId="15" fillId="7" borderId="28" xfId="0" applyFont="1" applyFill="1" applyBorder="1" applyAlignment="1" applyProtection="1">
      <alignment horizontal="center" vertical="center"/>
      <protection hidden="1" locked="0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74" fillId="0" borderId="0" xfId="16" applyFont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185" fontId="15" fillId="8" borderId="30" xfId="15" applyNumberFormat="1" applyFont="1" applyFill="1" applyBorder="1" applyAlignment="1" applyProtection="1">
      <alignment horizontal="center" vertical="center"/>
      <protection hidden="1"/>
    </xf>
    <xf numFmtId="14" fontId="68" fillId="0" borderId="69" xfId="26" applyNumberFormat="1" applyFont="1" applyBorder="1" applyAlignment="1" applyProtection="1">
      <alignment horizontal="center" vertical="center"/>
      <protection locked="0"/>
    </xf>
    <xf numFmtId="14" fontId="68" fillId="0" borderId="50" xfId="26" applyNumberFormat="1" applyFont="1" applyBorder="1" applyAlignment="1" applyProtection="1">
      <alignment horizontal="center" vertical="center"/>
      <protection locked="0"/>
    </xf>
    <xf numFmtId="14" fontId="71" fillId="0" borderId="69" xfId="26" applyNumberFormat="1" applyFont="1" applyBorder="1" applyAlignment="1" applyProtection="1">
      <alignment horizontal="center" vertical="center"/>
      <protection locked="0"/>
    </xf>
    <xf numFmtId="14" fontId="71" fillId="0" borderId="50" xfId="26" applyNumberFormat="1" applyFont="1" applyBorder="1" applyAlignment="1" applyProtection="1">
      <alignment horizontal="center" vertical="center"/>
      <protection locked="0"/>
    </xf>
    <xf numFmtId="185" fontId="15" fillId="8" borderId="46" xfId="15" applyNumberFormat="1" applyFont="1" applyFill="1" applyBorder="1" applyAlignment="1" applyProtection="1">
      <alignment horizontal="center" vertical="center"/>
      <protection hidden="1"/>
    </xf>
    <xf numFmtId="0" fontId="11" fillId="5" borderId="70" xfId="0" applyFont="1" applyFill="1" applyBorder="1" applyAlignment="1" applyProtection="1">
      <alignment horizontal="center" vertical="center"/>
      <protection hidden="1"/>
    </xf>
    <xf numFmtId="0" fontId="11" fillId="5" borderId="58" xfId="0" applyFont="1" applyFill="1" applyBorder="1" applyAlignment="1" applyProtection="1">
      <alignment horizontal="center" vertical="center"/>
      <protection hidden="1"/>
    </xf>
    <xf numFmtId="0" fontId="12" fillId="5" borderId="58" xfId="0" applyFont="1" applyFill="1" applyBorder="1" applyAlignment="1" applyProtection="1">
      <alignment horizontal="center" vertical="center"/>
      <protection hidden="1"/>
    </xf>
    <xf numFmtId="49" fontId="11" fillId="0" borderId="70" xfId="0" applyNumberFormat="1" applyFont="1" applyBorder="1" applyAlignment="1" applyProtection="1">
      <alignment horizontal="center" vertical="center" wrapText="1"/>
      <protection hidden="1"/>
    </xf>
    <xf numFmtId="49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11" fillId="5" borderId="37" xfId="24" applyFont="1" applyFill="1" applyBorder="1" applyAlignment="1" applyProtection="1">
      <alignment horizontal="center" vertical="center"/>
      <protection hidden="1"/>
    </xf>
    <xf numFmtId="0" fontId="81" fillId="5" borderId="71" xfId="0" applyFont="1" applyFill="1" applyBorder="1" applyAlignment="1" applyProtection="1">
      <alignment horizontal="center" vertical="center"/>
      <protection hidden="1"/>
    </xf>
    <xf numFmtId="0" fontId="81" fillId="5" borderId="72" xfId="0" applyFont="1" applyFill="1" applyBorder="1" applyAlignment="1" applyProtection="1">
      <alignment horizontal="center" vertical="center"/>
      <protection hidden="1"/>
    </xf>
    <xf numFmtId="0" fontId="80" fillId="0" borderId="41" xfId="24" applyFont="1" applyBorder="1" applyAlignment="1" applyProtection="1">
      <alignment horizontal="center" vertical="center"/>
      <protection hidden="1"/>
    </xf>
    <xf numFmtId="0" fontId="81" fillId="0" borderId="50" xfId="0" applyFont="1" applyBorder="1" applyAlignment="1" applyProtection="1">
      <alignment horizontal="center" vertical="center"/>
      <protection hidden="1"/>
    </xf>
    <xf numFmtId="0" fontId="11" fillId="0" borderId="41" xfId="24" applyFont="1" applyBorder="1" applyAlignment="1" applyProtection="1">
      <alignment horizontal="center" vertical="center"/>
      <protection hidden="1"/>
    </xf>
    <xf numFmtId="0" fontId="11" fillId="5" borderId="41" xfId="24" applyFont="1" applyFill="1" applyBorder="1" applyAlignment="1" applyProtection="1">
      <alignment horizontal="center" vertical="center"/>
      <protection hidden="1"/>
    </xf>
    <xf numFmtId="0" fontId="11" fillId="5" borderId="50" xfId="24" applyFont="1" applyFill="1" applyBorder="1" applyAlignment="1" applyProtection="1">
      <alignment horizontal="center" vertical="center"/>
      <protection hidden="1"/>
    </xf>
    <xf numFmtId="0" fontId="11" fillId="0" borderId="35" xfId="24" applyFont="1" applyBorder="1" applyAlignment="1" applyProtection="1">
      <alignment horizontal="center" vertical="center"/>
      <protection hidden="1"/>
    </xf>
    <xf numFmtId="0" fontId="11" fillId="0" borderId="53" xfId="24" applyFont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185" fontId="62" fillId="9" borderId="46" xfId="15" applyNumberFormat="1" applyFont="1" applyFill="1" applyBorder="1" applyAlignment="1" applyProtection="1">
      <alignment horizontal="center" vertical="center"/>
      <protection hidden="1"/>
    </xf>
    <xf numFmtId="185" fontId="62" fillId="9" borderId="73" xfId="15" applyNumberFormat="1" applyFont="1" applyFill="1" applyBorder="1" applyAlignment="1" applyProtection="1">
      <alignment horizontal="center" vertical="center"/>
      <protection hidden="1"/>
    </xf>
    <xf numFmtId="185" fontId="62" fillId="9" borderId="30" xfId="15" applyNumberFormat="1" applyFont="1" applyFill="1" applyBorder="1" applyAlignment="1" applyProtection="1">
      <alignment horizontal="center" vertical="center"/>
      <protection hidden="1"/>
    </xf>
    <xf numFmtId="0" fontId="11" fillId="5" borderId="74" xfId="0" applyFont="1" applyFill="1" applyBorder="1" applyAlignment="1" applyProtection="1">
      <alignment horizontal="center" vertical="center"/>
      <protection hidden="1"/>
    </xf>
    <xf numFmtId="0" fontId="11" fillId="5" borderId="75" xfId="0" applyFont="1" applyFill="1" applyBorder="1" applyAlignment="1" applyProtection="1">
      <alignment horizontal="center" vertical="center"/>
      <protection hidden="1"/>
    </xf>
    <xf numFmtId="0" fontId="11" fillId="5" borderId="76" xfId="0" applyFont="1" applyFill="1" applyBorder="1" applyAlignment="1" applyProtection="1">
      <alignment horizontal="center" vertical="center"/>
      <protection hidden="1"/>
    </xf>
    <xf numFmtId="0" fontId="11" fillId="5" borderId="77" xfId="0" applyFont="1" applyFill="1" applyBorder="1" applyAlignment="1" applyProtection="1">
      <alignment horizontal="center" vertical="center"/>
      <protection hidden="1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11" fillId="5" borderId="78" xfId="0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right" vertical="center" wrapText="1"/>
      <protection hidden="1"/>
    </xf>
    <xf numFmtId="0" fontId="73" fillId="0" borderId="0" xfId="0" applyFont="1" applyBorder="1" applyAlignment="1" applyProtection="1">
      <alignment horizontal="right" vertical="center" wrapText="1"/>
      <protection hidden="1"/>
    </xf>
    <xf numFmtId="0" fontId="15" fillId="7" borderId="46" xfId="0" applyFont="1" applyFill="1" applyBorder="1" applyAlignment="1" applyProtection="1">
      <alignment horizontal="center" vertical="center"/>
      <protection hidden="1" locked="0"/>
    </xf>
    <xf numFmtId="0" fontId="15" fillId="7" borderId="30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Border="1" applyAlignment="1" applyProtection="1">
      <alignment horizontal="right" vertical="center" wrapText="1"/>
      <protection hidden="1"/>
    </xf>
    <xf numFmtId="0" fontId="11" fillId="5" borderId="37" xfId="24" applyFont="1" applyFill="1" applyBorder="1" applyAlignment="1" applyProtection="1">
      <alignment horizontal="center" vertical="center"/>
      <protection hidden="1"/>
    </xf>
    <xf numFmtId="0" fontId="11" fillId="5" borderId="71" xfId="24" applyFont="1" applyFill="1" applyBorder="1" applyAlignment="1" applyProtection="1">
      <alignment horizontal="center" vertical="center"/>
      <protection hidden="1"/>
    </xf>
    <xf numFmtId="0" fontId="11" fillId="5" borderId="79" xfId="24" applyFont="1" applyFill="1" applyBorder="1" applyAlignment="1" applyProtection="1">
      <alignment horizontal="center" vertical="center"/>
      <protection hidden="1"/>
    </xf>
    <xf numFmtId="0" fontId="11" fillId="5" borderId="71" xfId="24" applyFont="1" applyFill="1" applyBorder="1" applyAlignment="1" applyProtection="1">
      <alignment horizontal="center" vertical="center"/>
      <protection hidden="1"/>
    </xf>
    <xf numFmtId="0" fontId="11" fillId="5" borderId="79" xfId="24" applyFont="1" applyFill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right" vertical="center" wrapText="1"/>
      <protection hidden="1"/>
    </xf>
    <xf numFmtId="0" fontId="11" fillId="0" borderId="50" xfId="24" applyFont="1" applyBorder="1" applyAlignment="1" applyProtection="1">
      <alignment horizontal="center" vertical="center"/>
      <protection hidden="1"/>
    </xf>
    <xf numFmtId="186" fontId="16" fillId="0" borderId="69" xfId="0" applyNumberFormat="1" applyFont="1" applyBorder="1" applyAlignment="1" applyProtection="1">
      <alignment horizontal="center" vertical="center"/>
      <protection hidden="1" locked="0"/>
    </xf>
    <xf numFmtId="186" fontId="16" fillId="0" borderId="57" xfId="0" applyNumberFormat="1" applyFont="1" applyBorder="1" applyAlignment="1" applyProtection="1">
      <alignment horizontal="center" vertical="center"/>
      <protection hidden="1" locked="0"/>
    </xf>
    <xf numFmtId="186" fontId="16" fillId="0" borderId="50" xfId="0" applyNumberFormat="1" applyFont="1" applyBorder="1" applyAlignment="1" applyProtection="1">
      <alignment horizontal="center" vertical="center"/>
      <protection hidden="1" locked="0"/>
    </xf>
    <xf numFmtId="185" fontId="15" fillId="5" borderId="46" xfId="15" applyNumberFormat="1" applyFont="1" applyFill="1" applyBorder="1" applyAlignment="1" applyProtection="1">
      <alignment horizontal="center" vertical="center"/>
      <protection hidden="1"/>
    </xf>
    <xf numFmtId="185" fontId="15" fillId="5" borderId="73" xfId="15" applyNumberFormat="1" applyFont="1" applyFill="1" applyBorder="1" applyAlignment="1" applyProtection="1">
      <alignment horizontal="center" vertical="center"/>
      <protection hidden="1"/>
    </xf>
    <xf numFmtId="185" fontId="15" fillId="5" borderId="30" xfId="15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5" fillId="0" borderId="74" xfId="0" applyFont="1" applyBorder="1" applyAlignment="1" applyProtection="1">
      <alignment horizontal="center" vertical="center"/>
      <protection locked="0"/>
    </xf>
    <xf numFmtId="0" fontId="45" fillId="0" borderId="75" xfId="0" applyFont="1" applyBorder="1" applyAlignment="1" applyProtection="1">
      <alignment horizontal="center" vertical="center"/>
      <protection locked="0"/>
    </xf>
    <xf numFmtId="0" fontId="45" fillId="0" borderId="76" xfId="0" applyFont="1" applyBorder="1" applyAlignment="1" applyProtection="1">
      <alignment horizontal="center" vertical="center"/>
      <protection locked="0"/>
    </xf>
    <xf numFmtId="0" fontId="45" fillId="0" borderId="77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5" fillId="0" borderId="78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left" vertical="center" indent="1"/>
      <protection hidden="1"/>
    </xf>
    <xf numFmtId="0" fontId="60" fillId="0" borderId="0" xfId="0" applyFont="1" applyBorder="1" applyAlignment="1" applyProtection="1">
      <alignment horizontal="left" vertical="center" indent="1"/>
      <protection hidden="1"/>
    </xf>
    <xf numFmtId="185" fontId="15" fillId="4" borderId="46" xfId="15" applyNumberFormat="1" applyFont="1" applyFill="1" applyBorder="1" applyAlignment="1" applyProtection="1">
      <alignment horizontal="center" vertical="center"/>
      <protection hidden="1"/>
    </xf>
    <xf numFmtId="185" fontId="15" fillId="4" borderId="73" xfId="15" applyNumberFormat="1" applyFont="1" applyFill="1" applyBorder="1" applyAlignment="1" applyProtection="1">
      <alignment horizontal="center" vertical="center"/>
      <protection hidden="1"/>
    </xf>
    <xf numFmtId="185" fontId="15" fillId="4" borderId="30" xfId="15" applyNumberFormat="1" applyFont="1" applyFill="1" applyBorder="1" applyAlignment="1" applyProtection="1">
      <alignment horizontal="center" vertical="center"/>
      <protection hidden="1"/>
    </xf>
    <xf numFmtId="0" fontId="44" fillId="0" borderId="29" xfId="0" applyFont="1" applyBorder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187" fontId="54" fillId="0" borderId="0" xfId="0" applyNumberFormat="1" applyFont="1" applyAlignment="1" applyProtection="1">
      <alignment horizontal="left" vertical="center"/>
      <protection hidden="1"/>
    </xf>
    <xf numFmtId="0" fontId="75" fillId="0" borderId="29" xfId="16" applyFont="1" applyBorder="1" applyAlignment="1" applyProtection="1">
      <alignment horizontal="left" vertical="center"/>
      <protection hidden="1"/>
    </xf>
    <xf numFmtId="0" fontId="75" fillId="0" borderId="0" xfId="16" applyFont="1" applyBorder="1" applyAlignment="1" applyProtection="1">
      <alignment horizontal="left" vertical="center"/>
      <protection hidden="1"/>
    </xf>
    <xf numFmtId="0" fontId="74" fillId="0" borderId="29" xfId="16" applyFont="1" applyBorder="1" applyAlignment="1" applyProtection="1">
      <alignment horizontal="center" vertical="center"/>
      <protection hidden="1"/>
    </xf>
    <xf numFmtId="0" fontId="74" fillId="0" borderId="0" xfId="16" applyFont="1" applyBorder="1" applyAlignment="1" applyProtection="1">
      <alignment horizontal="center" vertical="center"/>
      <protection hidden="1"/>
    </xf>
    <xf numFmtId="0" fontId="27" fillId="10" borderId="80" xfId="26" applyFont="1" applyFill="1" applyBorder="1" applyAlignment="1" applyProtection="1">
      <alignment horizontal="center" vertical="center" wrapText="1"/>
      <protection/>
    </xf>
    <xf numFmtId="0" fontId="27" fillId="10" borderId="20" xfId="26" applyFont="1" applyFill="1" applyBorder="1" applyAlignment="1" applyProtection="1">
      <alignment horizontal="center" vertical="center" wrapText="1"/>
      <protection/>
    </xf>
    <xf numFmtId="0" fontId="27" fillId="10" borderId="81" xfId="26" applyFont="1" applyFill="1" applyBorder="1" applyAlignment="1" applyProtection="1">
      <alignment horizontal="center" vertical="center" wrapText="1"/>
      <protection/>
    </xf>
    <xf numFmtId="0" fontId="27" fillId="10" borderId="82" xfId="26" applyFont="1" applyFill="1" applyBorder="1" applyAlignment="1" applyProtection="1">
      <alignment horizontal="center" vertical="center" wrapText="1"/>
      <protection/>
    </xf>
    <xf numFmtId="0" fontId="27" fillId="10" borderId="21" xfId="26" applyFont="1" applyFill="1" applyBorder="1" applyAlignment="1" applyProtection="1">
      <alignment horizontal="center" vertical="center" wrapText="1"/>
      <protection/>
    </xf>
    <xf numFmtId="0" fontId="27" fillId="10" borderId="19" xfId="26" applyFont="1" applyFill="1" applyBorder="1" applyAlignment="1" applyProtection="1">
      <alignment horizontal="center" vertical="center" wrapText="1"/>
      <protection/>
    </xf>
    <xf numFmtId="0" fontId="35" fillId="0" borderId="83" xfId="26" applyFont="1" applyBorder="1" applyAlignment="1" applyProtection="1">
      <alignment horizontal="center" vertical="center"/>
      <protection/>
    </xf>
    <xf numFmtId="0" fontId="35" fillId="0" borderId="84" xfId="26" applyFont="1" applyBorder="1" applyAlignment="1" applyProtection="1">
      <alignment horizontal="center" vertical="center"/>
      <protection/>
    </xf>
    <xf numFmtId="0" fontId="23" fillId="2" borderId="80" xfId="26" applyFont="1" applyFill="1" applyBorder="1" applyAlignment="1" applyProtection="1">
      <alignment horizontal="center" vertical="center" wrapText="1"/>
      <protection/>
    </xf>
    <xf numFmtId="0" fontId="23" fillId="2" borderId="20" xfId="26" applyFont="1" applyFill="1" applyBorder="1" applyAlignment="1" applyProtection="1">
      <alignment horizontal="center" vertical="center"/>
      <protection/>
    </xf>
    <xf numFmtId="0" fontId="23" fillId="2" borderId="81" xfId="26" applyFont="1" applyFill="1" applyBorder="1" applyAlignment="1" applyProtection="1">
      <alignment horizontal="center" vertical="center"/>
      <protection/>
    </xf>
    <xf numFmtId="0" fontId="23" fillId="2" borderId="82" xfId="26" applyFont="1" applyFill="1" applyBorder="1" applyAlignment="1" applyProtection="1">
      <alignment horizontal="center" vertical="center"/>
      <protection/>
    </xf>
    <xf numFmtId="0" fontId="23" fillId="2" borderId="21" xfId="26" applyFont="1" applyFill="1" applyBorder="1" applyAlignment="1" applyProtection="1">
      <alignment horizontal="center" vertical="center"/>
      <protection/>
    </xf>
    <xf numFmtId="0" fontId="23" fillId="2" borderId="19" xfId="26" applyFont="1" applyFill="1" applyBorder="1" applyAlignment="1" applyProtection="1">
      <alignment horizontal="center" vertical="center"/>
      <protection/>
    </xf>
    <xf numFmtId="0" fontId="29" fillId="0" borderId="85" xfId="26" applyFont="1" applyFill="1" applyBorder="1" applyAlignment="1" applyProtection="1">
      <alignment horizontal="center" vertical="center" wrapText="1"/>
      <protection/>
    </xf>
    <xf numFmtId="0" fontId="29" fillId="0" borderId="86" xfId="26" applyFont="1" applyFill="1" applyBorder="1" applyAlignment="1" applyProtection="1">
      <alignment horizontal="center" vertical="center" wrapText="1"/>
      <protection/>
    </xf>
    <xf numFmtId="14" fontId="29" fillId="0" borderId="87" xfId="26" applyNumberFormat="1" applyFont="1" applyFill="1" applyBorder="1" applyAlignment="1" applyProtection="1">
      <alignment horizontal="center" vertical="center" wrapText="1"/>
      <protection/>
    </xf>
    <xf numFmtId="14" fontId="29" fillId="0" borderId="88" xfId="26" applyNumberFormat="1" applyFont="1" applyFill="1" applyBorder="1" applyAlignment="1" applyProtection="1">
      <alignment horizontal="center" vertical="center" wrapText="1"/>
      <protection/>
    </xf>
    <xf numFmtId="0" fontId="35" fillId="0" borderId="8" xfId="26" applyFont="1" applyBorder="1" applyAlignment="1" applyProtection="1">
      <alignment horizontal="center" vertical="center"/>
      <protection/>
    </xf>
    <xf numFmtId="0" fontId="35" fillId="0" borderId="9" xfId="26" applyFont="1" applyBorder="1" applyAlignment="1" applyProtection="1">
      <alignment horizontal="center" vertical="center"/>
      <protection/>
    </xf>
    <xf numFmtId="0" fontId="23" fillId="11" borderId="89" xfId="26" applyFont="1" applyFill="1" applyBorder="1" applyAlignment="1" applyProtection="1">
      <alignment horizontal="center" vertical="center"/>
      <protection/>
    </xf>
    <xf numFmtId="0" fontId="23" fillId="11" borderId="90" xfId="26" applyFont="1" applyFill="1" applyBorder="1" applyAlignment="1" applyProtection="1">
      <alignment horizontal="center" vertical="center"/>
      <protection/>
    </xf>
    <xf numFmtId="0" fontId="23" fillId="11" borderId="1" xfId="26" applyFont="1" applyFill="1" applyBorder="1" applyAlignment="1" applyProtection="1">
      <alignment horizontal="center" vertical="center"/>
      <protection/>
    </xf>
    <xf numFmtId="0" fontId="35" fillId="0" borderId="91" xfId="26" applyFont="1" applyBorder="1" applyAlignment="1" applyProtection="1">
      <alignment horizontal="center" vertical="center"/>
      <protection/>
    </xf>
    <xf numFmtId="0" fontId="35" fillId="0" borderId="17" xfId="26" applyFont="1" applyBorder="1" applyAlignment="1" applyProtection="1">
      <alignment horizontal="center" vertical="center"/>
      <protection/>
    </xf>
    <xf numFmtId="0" fontId="35" fillId="0" borderId="25" xfId="26" applyFont="1" applyBorder="1" applyAlignment="1" applyProtection="1">
      <alignment horizontal="center" vertical="center"/>
      <protection/>
    </xf>
    <xf numFmtId="0" fontId="35" fillId="0" borderId="27" xfId="26" applyFont="1" applyBorder="1" applyAlignment="1" applyProtection="1">
      <alignment horizontal="center" vertical="center"/>
      <protection/>
    </xf>
    <xf numFmtId="172" fontId="38" fillId="0" borderId="89" xfId="26" applyNumberFormat="1" applyFont="1" applyBorder="1" applyAlignment="1" applyProtection="1">
      <alignment horizontal="center" vertical="center"/>
      <protection/>
    </xf>
    <xf numFmtId="172" fontId="38" fillId="0" borderId="90" xfId="26" applyNumberFormat="1" applyFont="1" applyBorder="1" applyAlignment="1" applyProtection="1">
      <alignment horizontal="center" vertical="center"/>
      <protection/>
    </xf>
    <xf numFmtId="172" fontId="38" fillId="0" borderId="1" xfId="26" applyNumberFormat="1" applyFont="1" applyBorder="1" applyAlignment="1" applyProtection="1">
      <alignment horizontal="center" vertical="center"/>
      <protection/>
    </xf>
    <xf numFmtId="14" fontId="35" fillId="0" borderId="0" xfId="26" applyNumberFormat="1" applyFont="1" applyBorder="1" applyAlignment="1" applyProtection="1">
      <alignment horizontal="center" vertical="center"/>
      <protection/>
    </xf>
    <xf numFmtId="14" fontId="35" fillId="0" borderId="92" xfId="26" applyNumberFormat="1" applyFont="1" applyBorder="1" applyAlignment="1" applyProtection="1">
      <alignment horizontal="center" vertical="center"/>
      <protection/>
    </xf>
    <xf numFmtId="176" fontId="32" fillId="0" borderId="93" xfId="26" applyNumberFormat="1" applyFont="1" applyFill="1" applyBorder="1" applyAlignment="1" applyProtection="1">
      <alignment horizontal="center" vertical="center"/>
      <protection/>
    </xf>
    <xf numFmtId="176" fontId="32" fillId="0" borderId="94" xfId="26" applyNumberFormat="1" applyFont="1" applyFill="1" applyBorder="1" applyAlignment="1" applyProtection="1">
      <alignment horizontal="center" vertical="center"/>
      <protection/>
    </xf>
    <xf numFmtId="172" fontId="23" fillId="0" borderId="0" xfId="26" applyNumberFormat="1" applyFont="1" applyFill="1" applyAlignment="1" applyProtection="1">
      <alignment horizontal="center"/>
      <protection/>
    </xf>
    <xf numFmtId="0" fontId="38" fillId="0" borderId="21" xfId="26" applyFont="1" applyBorder="1" applyAlignment="1" applyProtection="1">
      <alignment horizontal="center" vertical="center" wrapText="1"/>
      <protection/>
    </xf>
    <xf numFmtId="0" fontId="38" fillId="0" borderId="21" xfId="26" applyFont="1" applyBorder="1" applyAlignment="1" applyProtection="1">
      <alignment horizontal="center" vertical="center"/>
      <protection/>
    </xf>
    <xf numFmtId="0" fontId="23" fillId="2" borderId="89" xfId="26" applyFont="1" applyFill="1" applyBorder="1" applyAlignment="1" applyProtection="1">
      <alignment horizontal="center" vertical="center"/>
      <protection/>
    </xf>
    <xf numFmtId="0" fontId="23" fillId="2" borderId="90" xfId="26" applyFont="1" applyFill="1" applyBorder="1" applyAlignment="1" applyProtection="1">
      <alignment horizontal="center" vertical="center"/>
      <protection/>
    </xf>
    <xf numFmtId="0" fontId="17" fillId="0" borderId="90" xfId="26" applyBorder="1" applyAlignment="1">
      <alignment vertical="center"/>
      <protection/>
    </xf>
    <xf numFmtId="0" fontId="35" fillId="0" borderId="95" xfId="26" applyFont="1" applyBorder="1" applyAlignment="1" applyProtection="1">
      <alignment horizontal="center" vertical="center"/>
      <protection/>
    </xf>
    <xf numFmtId="0" fontId="35" fillId="0" borderId="96" xfId="26" applyFont="1" applyBorder="1" applyAlignment="1" applyProtection="1">
      <alignment horizontal="center" vertical="center"/>
      <protection/>
    </xf>
    <xf numFmtId="0" fontId="35" fillId="0" borderId="11" xfId="26" applyFont="1" applyBorder="1" applyAlignment="1" applyProtection="1">
      <alignment horizontal="center" vertical="center"/>
      <protection/>
    </xf>
    <xf numFmtId="0" fontId="35" fillId="0" borderId="97" xfId="26" applyFont="1" applyBorder="1" applyAlignment="1" applyProtection="1">
      <alignment horizontal="center" vertical="center"/>
      <protection/>
    </xf>
    <xf numFmtId="0" fontId="35" fillId="0" borderId="20" xfId="26" applyFont="1" applyBorder="1" applyAlignment="1" applyProtection="1">
      <alignment horizontal="center" vertical="center"/>
      <protection/>
    </xf>
    <xf numFmtId="0" fontId="35" fillId="0" borderId="18" xfId="26" applyFont="1" applyBorder="1" applyAlignment="1" applyProtection="1">
      <alignment horizontal="center" vertical="center"/>
      <protection/>
    </xf>
    <xf numFmtId="0" fontId="51" fillId="0" borderId="0" xfId="25" applyFont="1" applyAlignment="1" applyProtection="1">
      <alignment horizontal="center" vertical="center"/>
      <protection/>
    </xf>
    <xf numFmtId="0" fontId="54" fillId="3" borderId="46" xfId="25" applyFont="1" applyFill="1" applyBorder="1" applyAlignment="1" applyProtection="1">
      <alignment horizontal="center" vertical="center"/>
      <protection locked="0"/>
    </xf>
    <xf numFmtId="0" fontId="54" fillId="3" borderId="30" xfId="25" applyFont="1" applyFill="1" applyBorder="1" applyAlignment="1" applyProtection="1">
      <alignment horizontal="center" vertical="center"/>
      <protection locked="0"/>
    </xf>
    <xf numFmtId="178" fontId="54" fillId="3" borderId="46" xfId="25" applyNumberFormat="1" applyFont="1" applyFill="1" applyBorder="1" applyAlignment="1" applyProtection="1">
      <alignment horizontal="center" vertical="center"/>
      <protection locked="0"/>
    </xf>
    <xf numFmtId="178" fontId="54" fillId="3" borderId="30" xfId="25" applyNumberFormat="1" applyFont="1" applyFill="1" applyBorder="1" applyAlignment="1" applyProtection="1">
      <alignment horizontal="center" vertical="center"/>
      <protection locked="0"/>
    </xf>
    <xf numFmtId="0" fontId="56" fillId="0" borderId="29" xfId="25" applyFont="1" applyBorder="1" applyAlignment="1" applyProtection="1">
      <alignment horizontal="left" vertical="center" wrapText="1"/>
      <protection/>
    </xf>
    <xf numFmtId="0" fontId="56" fillId="0" borderId="0" xfId="25" applyFont="1" applyBorder="1" applyAlignment="1" applyProtection="1">
      <alignment horizontal="left" vertical="center" wrapText="1"/>
      <protection/>
    </xf>
    <xf numFmtId="181" fontId="59" fillId="12" borderId="0" xfId="25" applyNumberFormat="1" applyFont="1" applyFill="1" applyAlignment="1" applyProtection="1">
      <alignment horizontal="center" vertical="center"/>
      <protection/>
    </xf>
    <xf numFmtId="0" fontId="56" fillId="0" borderId="29" xfId="25" applyFont="1" applyBorder="1" applyAlignment="1" applyProtection="1">
      <alignment horizontal="right" vertical="center" wrapText="1"/>
      <protection/>
    </xf>
    <xf numFmtId="0" fontId="56" fillId="0" borderId="0" xfId="25" applyFont="1" applyBorder="1" applyAlignment="1" applyProtection="1">
      <alignment horizontal="right" vertical="center" wrapText="1"/>
      <protection/>
    </xf>
    <xf numFmtId="0" fontId="56" fillId="0" borderId="61" xfId="25" applyFont="1" applyBorder="1" applyAlignment="1" applyProtection="1">
      <alignment horizontal="right" vertical="center" wrapText="1"/>
      <protection/>
    </xf>
    <xf numFmtId="0" fontId="58" fillId="0" borderId="0" xfId="18" applyFont="1" applyAlignment="1" applyProtection="1">
      <alignment horizontal="center" vertical="center"/>
      <protection/>
    </xf>
    <xf numFmtId="0" fontId="57" fillId="0" borderId="0" xfId="25" applyFont="1" applyAlignment="1" applyProtection="1">
      <alignment horizontal="center" vertical="center" wrapText="1"/>
      <protection/>
    </xf>
    <xf numFmtId="0" fontId="54" fillId="4" borderId="0" xfId="25" applyFont="1" applyFill="1" applyAlignment="1" applyProtection="1">
      <alignment horizontal="right" vertical="center"/>
      <protection/>
    </xf>
    <xf numFmtId="0" fontId="5" fillId="3" borderId="79" xfId="25" applyFont="1" applyFill="1" applyBorder="1" applyAlignment="1">
      <alignment horizontal="center" vertical="center"/>
      <protection/>
    </xf>
    <xf numFmtId="0" fontId="5" fillId="3" borderId="38" xfId="25" applyFont="1" applyFill="1" applyBorder="1" applyAlignment="1">
      <alignment horizontal="center" vertical="center"/>
      <protection/>
    </xf>
    <xf numFmtId="0" fontId="5" fillId="3" borderId="33" xfId="25" applyFont="1" applyFill="1" applyBorder="1" applyAlignment="1">
      <alignment horizontal="center" vertical="center"/>
      <protection/>
    </xf>
    <xf numFmtId="0" fontId="5" fillId="3" borderId="98" xfId="25" applyFont="1" applyFill="1" applyBorder="1" applyAlignment="1">
      <alignment horizontal="center" vertical="center"/>
      <protection/>
    </xf>
    <xf numFmtId="0" fontId="5" fillId="3" borderId="34" xfId="25" applyFont="1" applyFill="1" applyBorder="1" applyAlignment="1">
      <alignment horizontal="center" vertical="center"/>
      <protection/>
    </xf>
    <xf numFmtId="0" fontId="5" fillId="3" borderId="45" xfId="25" applyFont="1" applyFill="1" applyBorder="1" applyAlignment="1">
      <alignment horizontal="center" vertical="center"/>
      <protection/>
    </xf>
    <xf numFmtId="0" fontId="26" fillId="3" borderId="80" xfId="25" applyFont="1" applyFill="1" applyBorder="1" applyAlignment="1">
      <alignment horizontal="center" vertical="center"/>
      <protection/>
    </xf>
    <xf numFmtId="0" fontId="26" fillId="3" borderId="20" xfId="25" applyFont="1" applyFill="1" applyBorder="1" applyAlignment="1">
      <alignment horizontal="center" vertical="center"/>
      <protection/>
    </xf>
    <xf numFmtId="0" fontId="26" fillId="3" borderId="81" xfId="25" applyFont="1" applyFill="1" applyBorder="1" applyAlignment="1">
      <alignment horizontal="center" vertical="center"/>
      <protection/>
    </xf>
    <xf numFmtId="0" fontId="26" fillId="2" borderId="80" xfId="25" applyFont="1" applyFill="1" applyBorder="1" applyAlignment="1">
      <alignment horizontal="center" vertical="center"/>
      <protection/>
    </xf>
    <xf numFmtId="0" fontId="26" fillId="2" borderId="20" xfId="25" applyFont="1" applyFill="1" applyBorder="1" applyAlignment="1">
      <alignment horizontal="center" vertical="center"/>
      <protection/>
    </xf>
    <xf numFmtId="0" fontId="26" fillId="2" borderId="81" xfId="25" applyFont="1" applyFill="1" applyBorder="1" applyAlignment="1">
      <alignment horizontal="center" vertical="center"/>
      <protection/>
    </xf>
    <xf numFmtId="0" fontId="5" fillId="2" borderId="33" xfId="25" applyFont="1" applyFill="1" applyBorder="1" applyAlignment="1">
      <alignment horizontal="center" vertical="center"/>
      <protection/>
    </xf>
    <xf numFmtId="0" fontId="5" fillId="2" borderId="98" xfId="25" applyFont="1" applyFill="1" applyBorder="1" applyAlignment="1">
      <alignment horizontal="center" vertical="center"/>
      <protection/>
    </xf>
    <xf numFmtId="0" fontId="5" fillId="2" borderId="34" xfId="25" applyFont="1" applyFill="1" applyBorder="1" applyAlignment="1">
      <alignment horizontal="center" vertical="center"/>
      <protection/>
    </xf>
    <xf numFmtId="0" fontId="5" fillId="2" borderId="45" xfId="25" applyFont="1" applyFill="1" applyBorder="1" applyAlignment="1">
      <alignment horizontal="center" vertical="center"/>
      <protection/>
    </xf>
    <xf numFmtId="0" fontId="5" fillId="2" borderId="79" xfId="25" applyFont="1" applyFill="1" applyBorder="1" applyAlignment="1">
      <alignment horizontal="center" vertical="center"/>
      <protection/>
    </xf>
    <xf numFmtId="0" fontId="5" fillId="2" borderId="38" xfId="25" applyFont="1" applyFill="1" applyBorder="1" applyAlignment="1">
      <alignment horizontal="center" vertical="center"/>
      <protection/>
    </xf>
    <xf numFmtId="0" fontId="44" fillId="0" borderId="0" xfId="27" applyFont="1" applyFill="1" applyAlignment="1">
      <alignment horizontal="center" wrapText="1"/>
      <protection/>
    </xf>
    <xf numFmtId="0" fontId="44" fillId="0" borderId="0" xfId="27" applyFont="1" applyFill="1" applyAlignment="1">
      <alignment horizontal="center"/>
      <protection/>
    </xf>
    <xf numFmtId="0" fontId="54" fillId="0" borderId="0" xfId="25" applyFont="1" applyAlignment="1" applyProtection="1">
      <alignment horizontal="center" vertical="center"/>
      <protection/>
    </xf>
    <xf numFmtId="178" fontId="15" fillId="2" borderId="46" xfId="25" applyNumberFormat="1" applyFont="1" applyFill="1" applyBorder="1" applyAlignment="1" applyProtection="1">
      <alignment horizontal="center" vertical="center" wrapText="1"/>
      <protection/>
    </xf>
    <xf numFmtId="178" fontId="43" fillId="2" borderId="73" xfId="25" applyNumberFormat="1" applyFont="1" applyFill="1" applyBorder="1" applyAlignment="1" applyProtection="1">
      <alignment horizontal="center" vertical="center" wrapText="1"/>
      <protection/>
    </xf>
    <xf numFmtId="178" fontId="43" fillId="2" borderId="30" xfId="25" applyNumberFormat="1" applyFont="1" applyFill="1" applyBorder="1" applyAlignment="1" applyProtection="1">
      <alignment horizontal="center" vertical="center" wrapText="1"/>
      <protection/>
    </xf>
    <xf numFmtId="178" fontId="40" fillId="2" borderId="99" xfId="25" applyNumberFormat="1" applyFont="1" applyFill="1" applyBorder="1" applyAlignment="1" applyProtection="1">
      <alignment horizontal="center" vertical="center" wrapText="1"/>
      <protection/>
    </xf>
    <xf numFmtId="178" fontId="40" fillId="2" borderId="60" xfId="25" applyNumberFormat="1" applyFont="1" applyFill="1" applyBorder="1" applyAlignment="1" applyProtection="1">
      <alignment horizontal="center" vertical="center" wrapText="1"/>
      <protection/>
    </xf>
    <xf numFmtId="178" fontId="40" fillId="2" borderId="52" xfId="25" applyNumberFormat="1" applyFont="1" applyFill="1" applyBorder="1" applyAlignment="1" applyProtection="1">
      <alignment horizontal="center" vertical="center"/>
      <protection/>
    </xf>
    <xf numFmtId="178" fontId="40" fillId="2" borderId="51" xfId="25" applyNumberFormat="1" applyFont="1" applyFill="1" applyBorder="1" applyAlignment="1" applyProtection="1">
      <alignment horizontal="center" vertical="center"/>
      <protection/>
    </xf>
    <xf numFmtId="178" fontId="40" fillId="2" borderId="55" xfId="25" applyNumberFormat="1" applyFont="1" applyFill="1" applyBorder="1" applyAlignment="1" applyProtection="1">
      <alignment horizontal="center" vertical="center"/>
      <protection/>
    </xf>
    <xf numFmtId="178" fontId="40" fillId="2" borderId="54" xfId="25" applyNumberFormat="1" applyFont="1" applyFill="1" applyBorder="1" applyAlignment="1" applyProtection="1">
      <alignment horizontal="center" vertical="center"/>
      <protection/>
    </xf>
    <xf numFmtId="178" fontId="48" fillId="2" borderId="55" xfId="25" applyNumberFormat="1" applyFont="1" applyFill="1" applyBorder="1" applyAlignment="1" applyProtection="1">
      <alignment horizontal="center" vertical="center" wrapText="1"/>
      <protection/>
    </xf>
    <xf numFmtId="178" fontId="48" fillId="2" borderId="54" xfId="25" applyNumberFormat="1" applyFont="1" applyFill="1" applyBorder="1" applyAlignment="1" applyProtection="1">
      <alignment horizontal="center" vertic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Lien hypertexte_indemnité différentielle" xfId="18"/>
    <cellStyle name="Lien hypertexte_Salaires nets 2005_02" xfId="19"/>
    <cellStyle name="Comma" xfId="20"/>
    <cellStyle name="Comma [0]" xfId="21"/>
    <cellStyle name="Currency" xfId="22"/>
    <cellStyle name="Currency [0]" xfId="23"/>
    <cellStyle name="Normal_Feuil1" xfId="24"/>
    <cellStyle name="Normal_indemnité différentielle" xfId="25"/>
    <cellStyle name="Normal_Salaires nets 2005_02" xfId="26"/>
    <cellStyle name="Normal_valeur pt d'indice au 1_9" xfId="27"/>
    <cellStyle name="Percent" xfId="28"/>
  </cellStyles>
  <dxfs count="2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showGridLines="0" showRowColHeaders="0" zoomScale="86" zoomScaleNormal="86" workbookViewId="0" topLeftCell="A1">
      <selection activeCell="F7" sqref="F7"/>
    </sheetView>
  </sheetViews>
  <sheetFormatPr defaultColWidth="11.00390625" defaultRowHeight="12"/>
  <cols>
    <col min="1" max="1" width="5.00390625" style="174" customWidth="1"/>
    <col min="2" max="4" width="24.75390625" style="174" customWidth="1"/>
    <col min="5" max="5" width="6.75390625" style="174" customWidth="1"/>
    <col min="6" max="7" width="24.75390625" style="174" customWidth="1"/>
    <col min="8" max="9" width="12.625" style="174" customWidth="1"/>
    <col min="10" max="10" width="5.00390625" style="174" customWidth="1"/>
    <col min="11" max="16384" width="12.625" style="174" customWidth="1"/>
  </cols>
  <sheetData>
    <row r="2" spans="2:9" s="175" customFormat="1" ht="30.75">
      <c r="B2" s="176" t="s">
        <v>92</v>
      </c>
      <c r="D2" s="177" t="s">
        <v>93</v>
      </c>
      <c r="F2" s="178">
        <v>53.0196</v>
      </c>
      <c r="G2" s="179" t="s">
        <v>53</v>
      </c>
      <c r="H2" s="290">
        <v>36922</v>
      </c>
      <c r="I2" s="291"/>
    </row>
    <row r="3" spans="2:9" s="175" customFormat="1" ht="30.75">
      <c r="B3" s="176"/>
      <c r="D3" s="180"/>
      <c r="E3" s="181"/>
      <c r="F3" s="182"/>
      <c r="G3" s="183"/>
      <c r="H3" s="184"/>
      <c r="I3" s="184"/>
    </row>
    <row r="4" spans="1:9" ht="30.75">
      <c r="A4" s="185"/>
      <c r="B4" s="186" t="s">
        <v>94</v>
      </c>
      <c r="C4" s="187">
        <v>161.66</v>
      </c>
      <c r="E4" s="186" t="s">
        <v>95</v>
      </c>
      <c r="F4" s="187">
        <v>202.08</v>
      </c>
      <c r="G4" s="188" t="s">
        <v>96</v>
      </c>
      <c r="H4" s="292">
        <v>36525</v>
      </c>
      <c r="I4" s="293"/>
    </row>
    <row r="5" spans="3:9" ht="30.75">
      <c r="C5" s="189"/>
      <c r="D5" s="190"/>
      <c r="E5" s="175"/>
      <c r="F5" s="191"/>
      <c r="G5" s="175"/>
      <c r="H5" s="192"/>
      <c r="I5" s="192"/>
    </row>
    <row r="6" spans="2:4" ht="31.5" thickBot="1">
      <c r="B6" s="193"/>
      <c r="D6" s="185"/>
    </row>
    <row r="7" spans="5:6" ht="45.75" thickBot="1">
      <c r="E7" s="194" t="s">
        <v>129</v>
      </c>
      <c r="F7" s="195">
        <v>2005</v>
      </c>
    </row>
    <row r="8" s="78" customFormat="1" ht="30"/>
    <row r="10" s="79" customFormat="1" ht="30"/>
    <row r="12" s="78" customFormat="1" ht="30"/>
    <row r="19" ht="30.75">
      <c r="D19" s="79"/>
    </row>
  </sheetData>
  <sheetProtection password="CD3F" sheet="1" objects="1" scenarios="1"/>
  <mergeCells count="2">
    <mergeCell ref="H2:I2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showGridLines="0" showZeros="0" zoomScale="89" zoomScaleNormal="89" workbookViewId="0" topLeftCell="A1">
      <selection activeCell="K6" sqref="K6:P6"/>
    </sheetView>
  </sheetViews>
  <sheetFormatPr defaultColWidth="11.00390625" defaultRowHeight="12"/>
  <cols>
    <col min="1" max="1" width="4.875" style="152" customWidth="1"/>
    <col min="2" max="3" width="16.125" style="152" customWidth="1"/>
    <col min="4" max="4" width="15.75390625" style="152" customWidth="1"/>
    <col min="5" max="5" width="23.625" style="152" bestFit="1" customWidth="1"/>
    <col min="6" max="6" width="17.00390625" style="152" bestFit="1" customWidth="1"/>
    <col min="7" max="7" width="23.625" style="152" bestFit="1" customWidth="1"/>
    <col min="8" max="8" width="3.125" style="152" customWidth="1"/>
    <col min="9" max="16384" width="12.625" style="152" customWidth="1"/>
  </cols>
  <sheetData>
    <row r="1" ht="9.75" customHeight="1"/>
    <row r="2" spans="2:5" ht="21" customHeight="1">
      <c r="B2" s="439" t="str">
        <f>'Calcul indemnité différentielle'!C5</f>
        <v>='Reclassement zone 2'!M2</v>
      </c>
      <c r="C2" s="439"/>
      <c r="D2" s="153" t="s">
        <v>53</v>
      </c>
      <c r="E2" s="154" t="str">
        <f>"1/9/"&amp;'Calcul indemnité différentielle'!D3</f>
        <v>1/9/2005</v>
      </c>
    </row>
    <row r="3" ht="15.75" thickBot="1">
      <c r="C3" s="153"/>
    </row>
    <row r="4" spans="2:7" ht="49.5" customHeight="1" thickBot="1">
      <c r="B4" s="155" t="s">
        <v>122</v>
      </c>
      <c r="C4" s="156">
        <f>LOOKUP('Calcul indemnité différentielle'!D3,'valeurs pt indice'!B6:B18,'valeurs pt indice'!C6:C18)</f>
        <v>53.0196</v>
      </c>
      <c r="D4" s="157" t="s">
        <v>103</v>
      </c>
      <c r="E4" s="158">
        <f>'Calcul indemnité différentielle'!G5</f>
        <v>10</v>
      </c>
      <c r="F4" s="159" t="s">
        <v>43</v>
      </c>
      <c r="G4" s="158">
        <f>'Calcul indemnité différentielle'!H5</f>
        <v>6</v>
      </c>
    </row>
    <row r="5" spans="2:7" ht="49.5" customHeight="1">
      <c r="B5" s="443" t="s">
        <v>123</v>
      </c>
      <c r="C5" s="444"/>
      <c r="D5" s="160">
        <f>IF('Calcul indemnité différentielle'!C7="o",LOOKUP('Calcul indemnité différentielle'!G5,'Traitements bruts'!A7:A17,'Traitements bruts'!C7:C17),LOOKUP('Calcul indemnité différentielle'!G5,'Traitements bruts'!A7:A17,'Traitements bruts'!D7:D17))</f>
        <v>1033.88</v>
      </c>
      <c r="E5" s="161">
        <f>D5*6.55957</f>
        <v>6781.808231600001</v>
      </c>
      <c r="F5" s="162">
        <f>IF('Calcul indemnité différentielle'!C7="o",LOOKUP('Calcul indemnité différentielle'!H5,'Traitements bruts'!E7:E17,'Traitements bruts'!G7:G17),LOOKUP('Calcul indemnité différentielle'!H5,'Traitements bruts'!E7:E17,'Traitements bruts'!H7:H17))</f>
        <v>1029.46</v>
      </c>
      <c r="G5" s="161">
        <f>F5*6.55957</f>
        <v>6752.8149322</v>
      </c>
    </row>
    <row r="6" spans="2:7" ht="49.5" customHeight="1">
      <c r="B6" s="445" t="s">
        <v>124</v>
      </c>
      <c r="C6" s="446"/>
      <c r="D6" s="163">
        <f>D5*7.85/100</f>
        <v>81.15958</v>
      </c>
      <c r="E6" s="164">
        <f>D6*6.55957</f>
        <v>532.3719461806</v>
      </c>
      <c r="F6" s="165">
        <f>F5*7.85/100</f>
        <v>80.81260999999999</v>
      </c>
      <c r="G6" s="164">
        <f>F6*6.55957</f>
        <v>530.0959721777</v>
      </c>
    </row>
    <row r="7" spans="2:7" ht="49.5" customHeight="1" thickBot="1">
      <c r="B7" s="447" t="s">
        <v>125</v>
      </c>
      <c r="C7" s="448"/>
      <c r="D7" s="166">
        <f>IF('Calcul indemnité différentielle'!G7="o",'Calcul indemnité différentielle'!E9,'Calcul indemnité différentielle'!D9)</f>
        <v>202.08</v>
      </c>
      <c r="E7" s="167">
        <f>D7*6.55957</f>
        <v>1325.5579056000001</v>
      </c>
      <c r="F7" s="168"/>
      <c r="G7" s="167">
        <f>F7*6.55957</f>
        <v>0</v>
      </c>
    </row>
    <row r="8" spans="2:7" s="169" customFormat="1" ht="49.5" customHeight="1" thickBot="1">
      <c r="B8" s="449" t="s">
        <v>126</v>
      </c>
      <c r="C8" s="450"/>
      <c r="D8" s="170">
        <f>D5-D6+D7</f>
        <v>1154.80042</v>
      </c>
      <c r="E8" s="167">
        <f>D8*6.55957</f>
        <v>7574.9941910194</v>
      </c>
      <c r="F8" s="171">
        <f>F5-F6</f>
        <v>948.6473900000001</v>
      </c>
      <c r="G8" s="167">
        <f>F8*6.55957</f>
        <v>6222.7189600223</v>
      </c>
    </row>
    <row r="9" spans="2:7" ht="49.5" customHeight="1" thickBot="1">
      <c r="B9" s="440" t="s">
        <v>128</v>
      </c>
      <c r="C9" s="441"/>
      <c r="D9" s="441"/>
      <c r="E9" s="442"/>
      <c r="F9" s="172">
        <f>IF((D5-D6+D7-(F5-F6))&gt;0,ROUNDDOWN(D5-D6+D7-(F5-F6),2),0)</f>
        <v>206.15</v>
      </c>
      <c r="G9" s="173">
        <f>F9*6.55957</f>
        <v>1352.2553555</v>
      </c>
    </row>
  </sheetData>
  <sheetProtection password="CD3F" sheet="1" objects="1" scenarios="1"/>
  <mergeCells count="6">
    <mergeCell ref="B2:C2"/>
    <mergeCell ref="B9:E9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3"/>
  <sheetViews>
    <sheetView showGridLines="0" showRowColHeaders="0" tabSelected="1" zoomScale="86" zoomScaleNormal="86" workbookViewId="0" topLeftCell="J1">
      <selection activeCell="J3" sqref="J3"/>
    </sheetView>
  </sheetViews>
  <sheetFormatPr defaultColWidth="11.00390625" defaultRowHeight="12"/>
  <cols>
    <col min="1" max="1" width="5.625" style="197" customWidth="1"/>
    <col min="2" max="4" width="16.75390625" style="197" customWidth="1"/>
    <col min="5" max="5" width="26.75390625" style="197" customWidth="1"/>
    <col min="6" max="6" width="2.75390625" style="234" customWidth="1"/>
    <col min="7" max="7" width="6.75390625" style="197" customWidth="1"/>
    <col min="8" max="8" width="10.75390625" style="197" customWidth="1"/>
    <col min="9" max="9" width="14.75390625" style="197" customWidth="1"/>
    <col min="10" max="10" width="11.25390625" style="197" bestFit="1" customWidth="1"/>
    <col min="11" max="15" width="11.375" style="197" customWidth="1"/>
    <col min="16" max="16" width="28.00390625" style="197" customWidth="1"/>
    <col min="17" max="17" width="7.625" style="197" customWidth="1"/>
    <col min="18" max="22" width="8.75390625" style="197" customWidth="1"/>
    <col min="23" max="16384" width="11.375" style="197" customWidth="1"/>
  </cols>
  <sheetData>
    <row r="1" spans="2:20" ht="48" customHeight="1" thickBot="1">
      <c r="B1" s="287" t="s">
        <v>51</v>
      </c>
      <c r="C1" s="287"/>
      <c r="D1" s="287"/>
      <c r="E1" s="285" t="s">
        <v>136</v>
      </c>
      <c r="F1" s="285"/>
      <c r="G1" s="285"/>
      <c r="H1" s="285"/>
      <c r="I1" s="285"/>
      <c r="K1" s="310" t="s">
        <v>142</v>
      </c>
      <c r="L1" s="311"/>
      <c r="M1" s="311"/>
      <c r="N1" s="311"/>
      <c r="O1" s="311"/>
      <c r="P1" s="311"/>
      <c r="Q1" s="311"/>
      <c r="R1" s="311"/>
      <c r="S1" s="311"/>
      <c r="T1" s="311"/>
    </row>
    <row r="2" spans="2:23" ht="24.75" customHeight="1">
      <c r="B2" s="287"/>
      <c r="C2" s="287"/>
      <c r="D2" s="287"/>
      <c r="E2" s="198" t="s">
        <v>130</v>
      </c>
      <c r="F2" s="199"/>
      <c r="H2" s="200"/>
      <c r="I2" s="200"/>
      <c r="J2" s="200"/>
      <c r="K2" s="339" t="s">
        <v>50</v>
      </c>
      <c r="L2" s="339"/>
      <c r="M2" s="340" t="s">
        <v>151</v>
      </c>
      <c r="N2" s="341"/>
      <c r="O2" s="341"/>
      <c r="P2" s="341"/>
      <c r="Q2" s="341"/>
      <c r="R2" s="341"/>
      <c r="S2" s="341"/>
      <c r="T2" s="342"/>
      <c r="U2" s="351" t="s">
        <v>146</v>
      </c>
      <c r="V2" s="352"/>
      <c r="W2" s="353">
        <v>2005</v>
      </c>
    </row>
    <row r="3" spans="2:23" ht="15.75" customHeight="1" thickBot="1">
      <c r="B3" s="287"/>
      <c r="C3" s="287"/>
      <c r="D3" s="287"/>
      <c r="E3" s="201" t="s">
        <v>97</v>
      </c>
      <c r="F3" s="202"/>
      <c r="G3" s="203"/>
      <c r="H3" s="203"/>
      <c r="I3" s="203"/>
      <c r="J3" s="203"/>
      <c r="K3" s="339"/>
      <c r="L3" s="339"/>
      <c r="M3" s="343"/>
      <c r="N3" s="344"/>
      <c r="O3" s="344"/>
      <c r="P3" s="344"/>
      <c r="Q3" s="344"/>
      <c r="R3" s="344"/>
      <c r="S3" s="344"/>
      <c r="T3" s="345"/>
      <c r="U3" s="351"/>
      <c r="V3" s="352"/>
      <c r="W3" s="353"/>
    </row>
    <row r="4" spans="2:22" ht="15.75" thickBot="1">
      <c r="B4" s="284"/>
      <c r="C4" s="284"/>
      <c r="D4" s="284"/>
      <c r="E4" s="204"/>
      <c r="F4" s="202"/>
      <c r="G4" s="203"/>
      <c r="H4" s="203"/>
      <c r="I4" s="203"/>
      <c r="J4" s="203"/>
      <c r="K4" s="205"/>
      <c r="L4" s="205"/>
      <c r="M4" s="206"/>
      <c r="N4" s="205"/>
      <c r="O4" s="205"/>
      <c r="P4" s="205"/>
      <c r="Q4" s="205"/>
      <c r="R4" s="205"/>
      <c r="S4" s="205"/>
      <c r="T4" s="205"/>
      <c r="U4" s="205"/>
      <c r="V4" s="205"/>
    </row>
    <row r="5" spans="2:23" s="206" customFormat="1" ht="25.5" customHeight="1" thickBot="1">
      <c r="B5" s="295" t="s">
        <v>46</v>
      </c>
      <c r="C5" s="298" t="s">
        <v>49</v>
      </c>
      <c r="D5" s="295" t="s">
        <v>0</v>
      </c>
      <c r="E5" s="298" t="s">
        <v>144</v>
      </c>
      <c r="F5" s="207"/>
      <c r="G5" s="315" t="s">
        <v>44</v>
      </c>
      <c r="H5" s="316"/>
      <c r="I5" s="317"/>
      <c r="J5" s="208"/>
      <c r="K5" s="325" t="s">
        <v>132</v>
      </c>
      <c r="L5" s="321"/>
      <c r="M5" s="321"/>
      <c r="N5" s="321"/>
      <c r="O5" s="321"/>
      <c r="P5" s="321"/>
      <c r="Q5" s="209"/>
      <c r="R5" s="323" t="s">
        <v>98</v>
      </c>
      <c r="S5" s="324"/>
      <c r="T5" s="210"/>
      <c r="U5" s="211"/>
      <c r="V5" s="205"/>
      <c r="W5" s="197"/>
    </row>
    <row r="6" spans="2:22" s="206" customFormat="1" ht="25.5" customHeight="1" thickBot="1">
      <c r="B6" s="296"/>
      <c r="C6" s="299"/>
      <c r="D6" s="296"/>
      <c r="E6" s="299"/>
      <c r="F6" s="207"/>
      <c r="G6" s="318"/>
      <c r="H6" s="319"/>
      <c r="I6" s="320"/>
      <c r="J6" s="208"/>
      <c r="K6" s="321" t="s">
        <v>90</v>
      </c>
      <c r="L6" s="321"/>
      <c r="M6" s="321"/>
      <c r="N6" s="321"/>
      <c r="O6" s="321"/>
      <c r="P6" s="321"/>
      <c r="Q6" s="209"/>
      <c r="R6" s="323" t="s">
        <v>100</v>
      </c>
      <c r="S6" s="324"/>
      <c r="T6" s="205"/>
      <c r="U6" s="205"/>
      <c r="V6" s="211"/>
    </row>
    <row r="7" spans="2:23" ht="25.5" customHeight="1" thickBot="1">
      <c r="B7" s="295">
        <v>11</v>
      </c>
      <c r="C7" s="213" t="s">
        <v>7</v>
      </c>
      <c r="D7" s="214">
        <v>8</v>
      </c>
      <c r="E7" s="215" t="s">
        <v>47</v>
      </c>
      <c r="F7" s="216"/>
      <c r="G7" s="217" t="s">
        <v>41</v>
      </c>
      <c r="H7" s="218" t="s">
        <v>42</v>
      </c>
      <c r="I7" s="217" t="s">
        <v>43</v>
      </c>
      <c r="J7" s="203"/>
      <c r="K7" s="321" t="s">
        <v>131</v>
      </c>
      <c r="L7" s="321"/>
      <c r="M7" s="321"/>
      <c r="N7" s="321"/>
      <c r="O7" s="321"/>
      <c r="P7" s="321"/>
      <c r="Q7" s="209"/>
      <c r="R7" s="323" t="s">
        <v>154</v>
      </c>
      <c r="S7" s="324"/>
      <c r="T7" s="209"/>
      <c r="U7" s="205"/>
      <c r="V7" s="205"/>
      <c r="W7" s="206"/>
    </row>
    <row r="8" spans="2:22" ht="26.25" customHeight="1" thickBot="1">
      <c r="B8" s="296"/>
      <c r="C8" s="219" t="s">
        <v>48</v>
      </c>
      <c r="D8" s="212">
        <v>9</v>
      </c>
      <c r="E8" s="220" t="s">
        <v>45</v>
      </c>
      <c r="F8" s="216"/>
      <c r="G8" s="221">
        <v>1</v>
      </c>
      <c r="H8" s="222">
        <v>340</v>
      </c>
      <c r="I8" s="221">
        <v>348</v>
      </c>
      <c r="J8" s="203"/>
      <c r="K8" s="223"/>
      <c r="L8" s="223"/>
      <c r="M8" s="223"/>
      <c r="N8" s="223"/>
      <c r="O8" s="223"/>
      <c r="P8" s="209"/>
      <c r="Q8" s="209"/>
      <c r="R8" s="209"/>
      <c r="S8" s="210"/>
      <c r="T8" s="205"/>
      <c r="U8" s="205"/>
      <c r="V8" s="209"/>
    </row>
    <row r="9" spans="2:21" ht="26.25" customHeight="1" thickBot="1">
      <c r="B9" s="295">
        <v>10</v>
      </c>
      <c r="C9" s="213" t="s">
        <v>1</v>
      </c>
      <c r="D9" s="214">
        <v>7</v>
      </c>
      <c r="E9" s="215" t="s">
        <v>47</v>
      </c>
      <c r="F9" s="216"/>
      <c r="G9" s="224">
        <v>2</v>
      </c>
      <c r="H9" s="225">
        <v>356</v>
      </c>
      <c r="I9" s="224">
        <v>375</v>
      </c>
      <c r="J9" s="203"/>
      <c r="K9" s="321" t="s">
        <v>91</v>
      </c>
      <c r="L9" s="321"/>
      <c r="M9" s="321"/>
      <c r="N9" s="321"/>
      <c r="O9" s="321"/>
      <c r="P9" s="321"/>
      <c r="Q9" s="223"/>
      <c r="R9" s="283">
        <v>10</v>
      </c>
      <c r="T9" s="205"/>
      <c r="U9" s="205"/>
    </row>
    <row r="10" spans="2:21" ht="26.25" customHeight="1" thickBot="1">
      <c r="B10" s="296"/>
      <c r="C10" s="226" t="s">
        <v>2</v>
      </c>
      <c r="D10" s="227">
        <v>8</v>
      </c>
      <c r="E10" s="220" t="s">
        <v>45</v>
      </c>
      <c r="F10" s="216"/>
      <c r="G10" s="221">
        <v>3</v>
      </c>
      <c r="H10" s="222">
        <v>365</v>
      </c>
      <c r="I10" s="221">
        <v>394</v>
      </c>
      <c r="J10" s="228"/>
      <c r="K10" s="229"/>
      <c r="L10" s="229"/>
      <c r="M10" s="229"/>
      <c r="N10" s="229"/>
      <c r="O10" s="229"/>
      <c r="P10" s="229"/>
      <c r="Q10" s="229"/>
      <c r="R10" s="229"/>
      <c r="S10" s="205"/>
      <c r="T10" s="205"/>
      <c r="U10" s="205"/>
    </row>
    <row r="11" spans="2:22" ht="26.25" customHeight="1" thickBot="1">
      <c r="B11" s="295">
        <v>9</v>
      </c>
      <c r="C11" s="213" t="s">
        <v>1</v>
      </c>
      <c r="D11" s="214">
        <v>6</v>
      </c>
      <c r="E11" s="215" t="s">
        <v>47</v>
      </c>
      <c r="F11" s="216"/>
      <c r="G11" s="224">
        <v>4</v>
      </c>
      <c r="H11" s="225">
        <v>372</v>
      </c>
      <c r="I11" s="224">
        <v>415</v>
      </c>
      <c r="J11" s="203"/>
      <c r="K11" s="321" t="s">
        <v>134</v>
      </c>
      <c r="L11" s="321"/>
      <c r="M11" s="321"/>
      <c r="N11" s="321"/>
      <c r="O11" s="321"/>
      <c r="P11" s="321"/>
      <c r="Q11" s="223"/>
      <c r="R11" s="283">
        <v>6</v>
      </c>
      <c r="S11" s="357" t="s">
        <v>135</v>
      </c>
      <c r="T11" s="358"/>
      <c r="U11" s="358"/>
      <c r="V11" s="358"/>
    </row>
    <row r="12" spans="2:27" ht="26.25" customHeight="1" thickBot="1">
      <c r="B12" s="297"/>
      <c r="C12" s="226" t="s">
        <v>2</v>
      </c>
      <c r="D12" s="227">
        <v>7</v>
      </c>
      <c r="E12" s="220" t="s">
        <v>45</v>
      </c>
      <c r="F12" s="216"/>
      <c r="G12" s="221">
        <v>5</v>
      </c>
      <c r="H12" s="222">
        <v>382</v>
      </c>
      <c r="I12" s="221">
        <v>438</v>
      </c>
      <c r="J12" s="203"/>
      <c r="K12" s="209"/>
      <c r="L12" s="209"/>
      <c r="M12" s="209"/>
      <c r="O12" s="209"/>
      <c r="P12" s="247" t="s">
        <v>145</v>
      </c>
      <c r="Q12" s="280" t="str">
        <f>IF(AND(R9=B7,R11=D8),0,IF(AND(R9=B9,R11=D10),0,IF(AND(R9=B11,R11=D12),0,IF(AND(R9=B13,R11=D14),0,IF(AND(R9=B15,R11=D16),0,IF(AND(R9=B17,R11=D18),0,"Ancienneté dans l'échelon instit conservée"))))))</f>
        <v>Ancienneté dans l'échelon instit conservée</v>
      </c>
      <c r="R12" s="281"/>
      <c r="S12" s="282"/>
      <c r="T12" s="282"/>
      <c r="U12" s="282"/>
      <c r="V12" s="282"/>
      <c r="X12" s="288" t="s">
        <v>149</v>
      </c>
      <c r="Y12" s="288"/>
      <c r="Z12" s="288"/>
      <c r="AA12" s="288"/>
    </row>
    <row r="13" spans="2:27" ht="26.25" customHeight="1" thickBot="1">
      <c r="B13" s="295">
        <v>8</v>
      </c>
      <c r="C13" s="213" t="s">
        <v>1</v>
      </c>
      <c r="D13" s="214">
        <v>5</v>
      </c>
      <c r="E13" s="215" t="s">
        <v>47</v>
      </c>
      <c r="F13" s="216"/>
      <c r="G13" s="224">
        <v>6</v>
      </c>
      <c r="H13" s="225">
        <v>389</v>
      </c>
      <c r="I13" s="224">
        <v>466</v>
      </c>
      <c r="J13" s="203"/>
      <c r="K13" s="321"/>
      <c r="L13" s="321"/>
      <c r="M13" s="321"/>
      <c r="N13" s="321"/>
      <c r="O13" s="321"/>
      <c r="P13" s="321"/>
      <c r="Q13" s="223"/>
      <c r="R13" s="210"/>
      <c r="T13" s="205"/>
      <c r="U13" s="205"/>
      <c r="X13" s="286" t="s">
        <v>119</v>
      </c>
      <c r="Y13" s="286"/>
      <c r="Z13" s="286" t="s">
        <v>148</v>
      </c>
      <c r="AA13" s="286"/>
    </row>
    <row r="14" spans="2:27" ht="26.25" customHeight="1" thickBot="1">
      <c r="B14" s="297"/>
      <c r="C14" s="226" t="s">
        <v>2</v>
      </c>
      <c r="D14" s="227">
        <v>6</v>
      </c>
      <c r="E14" s="220" t="s">
        <v>45</v>
      </c>
      <c r="F14" s="216"/>
      <c r="G14" s="221">
        <v>7</v>
      </c>
      <c r="H14" s="222">
        <v>398</v>
      </c>
      <c r="I14" s="221">
        <v>494</v>
      </c>
      <c r="J14" s="203"/>
      <c r="K14" s="321" t="s">
        <v>137</v>
      </c>
      <c r="L14" s="321"/>
      <c r="M14" s="321"/>
      <c r="N14" s="321"/>
      <c r="O14" s="321"/>
      <c r="P14" s="321"/>
      <c r="Q14" s="223"/>
      <c r="R14" s="336">
        <f>IF($R$7="O",Z14,X14)</f>
        <v>1020.7561521200001</v>
      </c>
      <c r="S14" s="337"/>
      <c r="T14" s="338"/>
      <c r="X14" s="294">
        <f>IF($R$5="non",LOOKUP($R$9,'Zone 2 - 1%'!$B16:$B26,'Zone 2 - 1%'!$D16:$D26),IF(AND($R$5="oui",$R$6="Célibataire"),LOOKUP($R$9,'Zone 2 - 1%'!$B16:$B26,'Zone 2 - 1%'!$H16:$H26),IF(AND($R$5="oui",$R$6="Marié(e)"),LOOKUP($R$9,'Zone 2 - 1%'!$B16:$B26,'Zone 2 - 1%'!$L16:$L26))))</f>
        <v>1866.0037122400001</v>
      </c>
      <c r="Y14" s="289"/>
      <c r="Z14" s="294">
        <f>IF($R$5="non",LOOKUP($R$9,'Zone 2 - mi_temps'!$B16:$B26,'Zone 2 - mi_temps'!$D16:$D26),IF(AND($R$5="oui",$R$6="Célibataire"),LOOKUP($R$9,'Zone 2 - mi_temps'!$B16:$B26,'Zone 2 - mi_temps'!$H16:$H26),IF(AND($R$5="oui",$R$6="Marié(e)"),LOOKUP($R$9,'Zone 2 - mi_temps'!$B16:$B26,'Zone 2 - mi_temps'!$L16:$L26))))</f>
        <v>1020.7561521200001</v>
      </c>
      <c r="AA14" s="289"/>
    </row>
    <row r="15" spans="2:22" ht="26.25" customHeight="1" thickBot="1">
      <c r="B15" s="295">
        <v>7</v>
      </c>
      <c r="C15" s="213" t="s">
        <v>3</v>
      </c>
      <c r="D15" s="214">
        <v>4</v>
      </c>
      <c r="E15" s="215" t="s">
        <v>47</v>
      </c>
      <c r="F15" s="216"/>
      <c r="G15" s="224">
        <v>8</v>
      </c>
      <c r="H15" s="225">
        <v>419</v>
      </c>
      <c r="I15" s="224">
        <v>530</v>
      </c>
      <c r="J15" s="203"/>
      <c r="K15" s="223"/>
      <c r="L15" s="223"/>
      <c r="M15" s="223"/>
      <c r="N15" s="223"/>
      <c r="O15" s="223"/>
      <c r="P15" s="223"/>
      <c r="Q15" s="223"/>
      <c r="V15" s="205"/>
    </row>
    <row r="16" spans="2:27" ht="26.25" customHeight="1" thickBot="1">
      <c r="B16" s="296"/>
      <c r="C16" s="226" t="s">
        <v>4</v>
      </c>
      <c r="D16" s="227">
        <v>5</v>
      </c>
      <c r="E16" s="220" t="s">
        <v>45</v>
      </c>
      <c r="F16" s="216"/>
      <c r="G16" s="221">
        <v>9</v>
      </c>
      <c r="H16" s="222">
        <v>440</v>
      </c>
      <c r="I16" s="221">
        <v>566</v>
      </c>
      <c r="J16" s="203"/>
      <c r="K16" s="321" t="s">
        <v>138</v>
      </c>
      <c r="L16" s="321"/>
      <c r="M16" s="321"/>
      <c r="N16" s="321"/>
      <c r="O16" s="321"/>
      <c r="P16" s="321"/>
      <c r="Q16" s="223"/>
      <c r="R16" s="336">
        <f>IF($R$7="O",Z16,X16)</f>
        <v>1020.48925354</v>
      </c>
      <c r="S16" s="337"/>
      <c r="T16" s="338"/>
      <c r="V16" s="205"/>
      <c r="X16" s="294">
        <f>LOOKUP($R$11,'Zone 2 - 1%'!$B33:$B43,'Zone 2 - 1%'!$D33:$D43)+$R$18-ROUNDDOWN($R$18,2)*0.97*0.075-ROUNDDOWN($R$18,2)*0.97*0.005-ROUNDDOWN($R$18,2)*0.05</f>
        <v>1862.12324708</v>
      </c>
      <c r="Y16" s="289"/>
      <c r="Z16" s="294">
        <f>LOOKUP($R$11,'Zone 2 - mi_temps'!$B33:$B43,'Zone 2 - mi_temps'!$D33:$D43)+$R$18-ROUNDDOWN($R$18,2)*0.97*0.075-ROUNDDOWN($R$18,2)*0.97*0.005-ROUNDDOWN($R$18,2)*0.05</f>
        <v>1020.48925354</v>
      </c>
      <c r="AA16" s="289"/>
    </row>
    <row r="17" spans="2:19" ht="26.25" customHeight="1" thickBot="1">
      <c r="B17" s="295">
        <v>6</v>
      </c>
      <c r="C17" s="213" t="s">
        <v>5</v>
      </c>
      <c r="D17" s="214">
        <v>3</v>
      </c>
      <c r="E17" s="215" t="s">
        <v>47</v>
      </c>
      <c r="F17" s="216"/>
      <c r="G17" s="224">
        <v>10</v>
      </c>
      <c r="H17" s="225">
        <v>468</v>
      </c>
      <c r="I17" s="224">
        <v>611</v>
      </c>
      <c r="J17" s="203"/>
      <c r="K17" s="230"/>
      <c r="L17" s="230"/>
      <c r="M17" s="230"/>
      <c r="N17" s="230"/>
      <c r="O17" s="230"/>
      <c r="P17" s="230"/>
      <c r="Q17" s="230"/>
      <c r="R17" s="230"/>
      <c r="S17" s="230"/>
    </row>
    <row r="18" spans="2:23" ht="26.25" customHeight="1" thickBot="1">
      <c r="B18" s="296"/>
      <c r="C18" s="226" t="s">
        <v>6</v>
      </c>
      <c r="D18" s="227">
        <v>4</v>
      </c>
      <c r="E18" s="220" t="s">
        <v>45</v>
      </c>
      <c r="F18" s="216"/>
      <c r="G18" s="227">
        <v>11</v>
      </c>
      <c r="H18" s="231">
        <v>514</v>
      </c>
      <c r="I18" s="227">
        <v>657</v>
      </c>
      <c r="J18" s="203"/>
      <c r="K18" s="322" t="s">
        <v>139</v>
      </c>
      <c r="L18" s="321"/>
      <c r="M18" s="321"/>
      <c r="N18" s="321"/>
      <c r="O18" s="321"/>
      <c r="P18" s="321"/>
      <c r="Q18" s="223"/>
      <c r="R18" s="348">
        <f>IF(R5="non",0,'Calcul indemnité différentielle'!G14)</f>
        <v>206.15</v>
      </c>
      <c r="S18" s="349"/>
      <c r="T18" s="350"/>
      <c r="U18" s="355" t="s">
        <v>143</v>
      </c>
      <c r="V18" s="356"/>
      <c r="W18" s="356"/>
    </row>
    <row r="19" spans="2:19" ht="24" customHeight="1" thickBot="1">
      <c r="B19" s="232"/>
      <c r="C19" s="233"/>
      <c r="D19" s="232"/>
      <c r="J19" s="203"/>
      <c r="K19" s="230"/>
      <c r="L19" s="230"/>
      <c r="M19" s="230"/>
      <c r="N19" s="230"/>
      <c r="O19" s="230"/>
      <c r="P19" s="230"/>
      <c r="Q19" s="230"/>
      <c r="R19" s="230"/>
      <c r="S19" s="230"/>
    </row>
    <row r="20" spans="2:20" ht="24" customHeight="1" thickBot="1">
      <c r="B20" s="232"/>
      <c r="C20" s="233"/>
      <c r="D20" s="232"/>
      <c r="E20" s="285" t="s">
        <v>136</v>
      </c>
      <c r="F20" s="285"/>
      <c r="G20" s="285"/>
      <c r="H20" s="285"/>
      <c r="I20" s="285"/>
      <c r="J20" s="203"/>
      <c r="K20" s="331" t="s">
        <v>140</v>
      </c>
      <c r="L20" s="321"/>
      <c r="M20" s="321"/>
      <c r="N20" s="321"/>
      <c r="O20" s="321"/>
      <c r="P20" s="321"/>
      <c r="Q20" s="223"/>
      <c r="R20" s="312">
        <f>R16-R14</f>
        <v>-0.26689858000008826</v>
      </c>
      <c r="S20" s="313"/>
      <c r="T20" s="314"/>
    </row>
    <row r="21" spans="4:20" ht="23.25" customHeight="1" thickBot="1">
      <c r="D21" s="237"/>
      <c r="J21" s="203"/>
      <c r="K21" s="235"/>
      <c r="L21" s="209"/>
      <c r="M21" s="209"/>
      <c r="N21" s="209"/>
      <c r="O21" s="209"/>
      <c r="P21" s="209"/>
      <c r="Q21" s="223"/>
      <c r="R21" s="236"/>
      <c r="S21" s="236"/>
      <c r="T21" s="236"/>
    </row>
    <row r="22" spans="2:13" ht="24" customHeight="1">
      <c r="B22" s="300" t="s">
        <v>9</v>
      </c>
      <c r="C22" s="329"/>
      <c r="D22" s="329"/>
      <c r="E22" s="330"/>
      <c r="F22" s="240"/>
      <c r="G22" s="300" t="s">
        <v>33</v>
      </c>
      <c r="H22" s="301"/>
      <c r="I22" s="302"/>
      <c r="L22" s="346" t="s">
        <v>141</v>
      </c>
      <c r="M22" s="347"/>
    </row>
    <row r="23" spans="2:20" ht="26.25" customHeight="1" thickBot="1">
      <c r="B23" s="242" t="s">
        <v>10</v>
      </c>
      <c r="C23" s="243" t="s">
        <v>11</v>
      </c>
      <c r="D23" s="243" t="s">
        <v>12</v>
      </c>
      <c r="E23" s="244" t="s">
        <v>8</v>
      </c>
      <c r="F23" s="245"/>
      <c r="G23" s="303" t="s">
        <v>10</v>
      </c>
      <c r="H23" s="304"/>
      <c r="I23" s="244" t="s">
        <v>35</v>
      </c>
      <c r="L23" s="238"/>
      <c r="M23" s="239"/>
      <c r="T23" s="241"/>
    </row>
    <row r="24" spans="2:27" ht="26.25" customHeight="1" thickBot="1">
      <c r="B24" s="251" t="s">
        <v>13</v>
      </c>
      <c r="C24" s="252"/>
      <c r="D24" s="252"/>
      <c r="E24" s="253" t="s">
        <v>14</v>
      </c>
      <c r="F24" s="254"/>
      <c r="G24" s="306" t="s">
        <v>13</v>
      </c>
      <c r="H24" s="307"/>
      <c r="I24" s="253" t="s">
        <v>24</v>
      </c>
      <c r="M24" s="246"/>
      <c r="N24" s="247" t="s">
        <v>152</v>
      </c>
      <c r="O24" s="248">
        <f>R11+1</f>
        <v>7</v>
      </c>
      <c r="P24" s="249" t="s">
        <v>150</v>
      </c>
      <c r="Q24" s="333">
        <f>IF($R$7="O",Z24,X24)</f>
        <v>891.2175746799999</v>
      </c>
      <c r="R24" s="334"/>
      <c r="S24" s="335"/>
      <c r="T24" s="250" t="str">
        <f>IF(U24&lt;0,"(","(+")</f>
        <v>(</v>
      </c>
      <c r="U24" s="354">
        <f>Q24-R16</f>
        <v>-129.27167886000018</v>
      </c>
      <c r="V24" s="354"/>
      <c r="X24" s="294">
        <f>LOOKUP($O$24,'Zone 2 - 1%'!$B33:$B43,'Zone 2 - 1%'!$D33:$D43)</f>
        <v>1783.4251493599998</v>
      </c>
      <c r="Y24" s="289"/>
      <c r="Z24" s="294">
        <f>LOOKUP($O$24,'Zone 2 - mi_temps'!$B33:$B43,'Zone 2 - mi_temps'!$D33:$D43)</f>
        <v>891.2175746799999</v>
      </c>
      <c r="AA24" s="289"/>
    </row>
    <row r="25" spans="2:22" ht="26.25" customHeight="1" thickBot="1">
      <c r="B25" s="257" t="s">
        <v>15</v>
      </c>
      <c r="C25" s="258"/>
      <c r="D25" s="258"/>
      <c r="E25" s="259" t="s">
        <v>16</v>
      </c>
      <c r="F25" s="254"/>
      <c r="G25" s="305" t="s">
        <v>15</v>
      </c>
      <c r="H25" s="304"/>
      <c r="I25" s="259" t="s">
        <v>24</v>
      </c>
      <c r="K25" s="230"/>
      <c r="M25" s="255"/>
      <c r="N25" s="255"/>
      <c r="O25" s="255"/>
      <c r="P25" s="255"/>
      <c r="Q25" s="255"/>
      <c r="R25" s="255"/>
      <c r="S25" s="255"/>
      <c r="T25" s="256"/>
      <c r="U25" s="256"/>
      <c r="V25" s="256"/>
    </row>
    <row r="26" spans="2:27" ht="26.25" customHeight="1" thickBot="1">
      <c r="B26" s="251" t="s">
        <v>17</v>
      </c>
      <c r="C26" s="252"/>
      <c r="D26" s="252"/>
      <c r="E26" s="253" t="s">
        <v>18</v>
      </c>
      <c r="F26" s="254"/>
      <c r="G26" s="306" t="s">
        <v>17</v>
      </c>
      <c r="H26" s="307"/>
      <c r="I26" s="253" t="s">
        <v>24</v>
      </c>
      <c r="K26" s="230"/>
      <c r="L26" s="255"/>
      <c r="M26" s="246"/>
      <c r="N26" s="247" t="s">
        <v>152</v>
      </c>
      <c r="O26" s="248">
        <f>O24+1</f>
        <v>8</v>
      </c>
      <c r="P26" s="249" t="s">
        <v>150</v>
      </c>
      <c r="Q26" s="333">
        <f>IF($R$7="O",Z26,X26)</f>
        <v>956.22907116</v>
      </c>
      <c r="R26" s="334"/>
      <c r="S26" s="335"/>
      <c r="T26" s="250" t="str">
        <f>IF(U26&lt;0,"(","(+")</f>
        <v>(</v>
      </c>
      <c r="U26" s="354">
        <f>Q26-R16</f>
        <v>-64.26018238000006</v>
      </c>
      <c r="V26" s="354"/>
      <c r="X26" s="294">
        <f>LOOKUP($O$26,'Zone 2 - 1%'!$B35:$B45,'Zone 2 - 1%'!$D35:$D45)</f>
        <v>1913.45631781</v>
      </c>
      <c r="Y26" s="289"/>
      <c r="Z26" s="294">
        <f>LOOKUP($O$26,'Zone 2 - mi_temps'!$B35:$B45,'Zone 2 - mi_temps'!$D35:$D45)</f>
        <v>956.22907116</v>
      </c>
      <c r="AA26" s="289"/>
    </row>
    <row r="27" spans="2:22" ht="26.25" customHeight="1">
      <c r="B27" s="257" t="s">
        <v>19</v>
      </c>
      <c r="C27" s="258" t="s">
        <v>20</v>
      </c>
      <c r="D27" s="258"/>
      <c r="E27" s="259" t="s">
        <v>21</v>
      </c>
      <c r="F27" s="254"/>
      <c r="G27" s="305" t="s">
        <v>19</v>
      </c>
      <c r="H27" s="332"/>
      <c r="I27" s="259" t="s">
        <v>24</v>
      </c>
      <c r="K27" s="230"/>
      <c r="L27" s="255"/>
      <c r="M27" s="255"/>
      <c r="N27" s="255"/>
      <c r="O27" s="255"/>
      <c r="T27" s="255"/>
      <c r="U27" s="255"/>
      <c r="V27" s="255"/>
    </row>
    <row r="28" spans="2:22" ht="26.25" customHeight="1" thickBot="1">
      <c r="B28" s="251" t="s">
        <v>22</v>
      </c>
      <c r="C28" s="252" t="s">
        <v>20</v>
      </c>
      <c r="D28" s="252"/>
      <c r="E28" s="253" t="s">
        <v>21</v>
      </c>
      <c r="F28" s="254"/>
      <c r="G28" s="306" t="s">
        <v>22</v>
      </c>
      <c r="H28" s="307"/>
      <c r="I28" s="253" t="s">
        <v>31</v>
      </c>
      <c r="L28" s="238" t="s">
        <v>147</v>
      </c>
      <c r="M28" s="25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2:27" ht="26.25" customHeight="1" thickBot="1">
      <c r="B29" s="257" t="s">
        <v>23</v>
      </c>
      <c r="C29" s="260" t="s">
        <v>20</v>
      </c>
      <c r="D29" s="258" t="s">
        <v>21</v>
      </c>
      <c r="E29" s="259" t="s">
        <v>24</v>
      </c>
      <c r="F29" s="254"/>
      <c r="G29" s="308" t="s">
        <v>23</v>
      </c>
      <c r="H29" s="309"/>
      <c r="I29" s="261" t="s">
        <v>31</v>
      </c>
      <c r="L29" s="249"/>
      <c r="M29" s="249"/>
      <c r="N29" s="247" t="s">
        <v>153</v>
      </c>
      <c r="O29" s="248">
        <f>IF(R9&lt;11,R9+1,11)</f>
        <v>11</v>
      </c>
      <c r="P29" s="249" t="s">
        <v>150</v>
      </c>
      <c r="Q29" s="333">
        <f>IF($R$7="O",Z29,X29)</f>
        <v>1103.8354814999998</v>
      </c>
      <c r="R29" s="334"/>
      <c r="S29" s="335"/>
      <c r="T29" s="250" t="str">
        <f>IF(U29&lt;0,"(","(+")</f>
        <v>(+</v>
      </c>
      <c r="U29" s="354">
        <f>Q29-R16</f>
        <v>83.34622795999974</v>
      </c>
      <c r="V29" s="354"/>
      <c r="X29" s="294">
        <f>IF(AND($R$5="oui",$R$6="Célibataire"),LOOKUP($O$29,'Zone 2 - 1%'!$B16:$B26,'Zone 2 - 1%'!$H16:$H26),IF(AND($R$5="oui",$R$6="Marié(e)"),LOOKUP($O$29,'Zone 2 - 1%'!$B16:$B26,'Zone 2 - 1%'!$L16:$L26)))</f>
        <v>2032.162371</v>
      </c>
      <c r="Y29" s="289"/>
      <c r="Z29" s="294">
        <f>IF(AND($R$5="oui",$R$6="Célibataire"),LOOKUP($O$29,'Zone 2 - mi_temps'!$B16:$B26,'Zone 2 - mi_temps'!$H16:$H26),IF(AND($R$5="oui",$R$6="Marié(e)"),LOOKUP($O$29,'Zone 2 - mi_temps'!$B16:$B26,'Zone 2 - mi_temps'!$L16:$L26)))</f>
        <v>1103.8354814999998</v>
      </c>
      <c r="AA29" s="289"/>
    </row>
    <row r="30" spans="2:22" ht="26.25" customHeight="1">
      <c r="B30" s="251" t="s">
        <v>25</v>
      </c>
      <c r="C30" s="252" t="s">
        <v>24</v>
      </c>
      <c r="D30" s="252" t="s">
        <v>26</v>
      </c>
      <c r="E30" s="253" t="s">
        <v>27</v>
      </c>
      <c r="F30" s="254"/>
      <c r="G30" s="262"/>
      <c r="H30" s="262"/>
      <c r="I30" s="262"/>
      <c r="K30" s="249"/>
      <c r="L30" s="249"/>
      <c r="M30" s="249"/>
      <c r="N30" s="249"/>
      <c r="O30" s="255"/>
      <c r="P30" s="255"/>
      <c r="Q30" s="255"/>
      <c r="R30" s="255"/>
      <c r="S30" s="255"/>
      <c r="T30" s="255"/>
      <c r="U30" s="255"/>
      <c r="V30" s="255"/>
    </row>
    <row r="31" spans="2:22" ht="26.25" customHeight="1">
      <c r="B31" s="257" t="s">
        <v>28</v>
      </c>
      <c r="C31" s="258" t="s">
        <v>24</v>
      </c>
      <c r="D31" s="258" t="s">
        <v>26</v>
      </c>
      <c r="E31" s="259" t="s">
        <v>27</v>
      </c>
      <c r="F31" s="254"/>
      <c r="G31" s="262"/>
      <c r="H31" s="262"/>
      <c r="I31" s="262"/>
      <c r="K31" s="230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</row>
    <row r="32" spans="2:22" ht="26.25" customHeight="1">
      <c r="B32" s="251" t="s">
        <v>38</v>
      </c>
      <c r="C32" s="252" t="s">
        <v>24</v>
      </c>
      <c r="D32" s="252" t="s">
        <v>29</v>
      </c>
      <c r="E32" s="253" t="s">
        <v>27</v>
      </c>
      <c r="F32" s="254"/>
      <c r="G32" s="262"/>
      <c r="H32" s="262"/>
      <c r="I32" s="262"/>
      <c r="K32" s="230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</row>
    <row r="33" spans="2:22" ht="26.25" customHeight="1" thickBot="1">
      <c r="B33" s="263" t="s">
        <v>30</v>
      </c>
      <c r="C33" s="264" t="s">
        <v>31</v>
      </c>
      <c r="D33" s="264" t="s">
        <v>29</v>
      </c>
      <c r="E33" s="261" t="s">
        <v>27</v>
      </c>
      <c r="F33" s="254"/>
      <c r="G33" s="262"/>
      <c r="H33" s="262"/>
      <c r="I33" s="262"/>
      <c r="K33" s="230"/>
      <c r="L33" s="255"/>
      <c r="M33" s="255"/>
      <c r="N33" s="255"/>
      <c r="T33" s="255"/>
      <c r="U33" s="255"/>
      <c r="V33" s="255"/>
    </row>
    <row r="34" spans="2:19" ht="24" thickBot="1">
      <c r="B34" s="265"/>
      <c r="C34" s="265"/>
      <c r="D34" s="265"/>
      <c r="E34" s="265"/>
      <c r="F34" s="266"/>
      <c r="G34" s="267"/>
      <c r="K34" s="230"/>
      <c r="L34" s="255"/>
      <c r="M34" s="255"/>
      <c r="N34" s="255"/>
      <c r="O34" s="285" t="s">
        <v>136</v>
      </c>
      <c r="P34" s="285"/>
      <c r="Q34" s="285"/>
      <c r="R34" s="285"/>
      <c r="S34" s="285"/>
    </row>
    <row r="35" spans="2:14" ht="23.25">
      <c r="B35" s="326" t="s">
        <v>32</v>
      </c>
      <c r="C35" s="327"/>
      <c r="D35" s="327"/>
      <c r="E35" s="328"/>
      <c r="F35" s="268"/>
      <c r="G35" s="265"/>
      <c r="K35" s="230"/>
      <c r="L35" s="230"/>
      <c r="M35" s="230"/>
      <c r="N35" s="230"/>
    </row>
    <row r="36" spans="2:19" ht="23.25">
      <c r="B36" s="269" t="s">
        <v>10</v>
      </c>
      <c r="C36" s="270" t="s">
        <v>34</v>
      </c>
      <c r="D36" s="270" t="s">
        <v>11</v>
      </c>
      <c r="E36" s="271" t="s">
        <v>8</v>
      </c>
      <c r="F36" s="272"/>
      <c r="G36" s="265"/>
      <c r="K36" s="230"/>
      <c r="L36" s="230"/>
      <c r="M36" s="230"/>
      <c r="N36" s="230"/>
      <c r="O36" s="230"/>
      <c r="P36" s="230"/>
      <c r="Q36" s="230"/>
      <c r="R36" s="230"/>
      <c r="S36" s="230"/>
    </row>
    <row r="37" spans="2:19" ht="26.25" customHeight="1">
      <c r="B37" s="273" t="s">
        <v>13</v>
      </c>
      <c r="C37" s="274"/>
      <c r="D37" s="274"/>
      <c r="E37" s="275" t="s">
        <v>36</v>
      </c>
      <c r="F37" s="276"/>
      <c r="G37" s="265"/>
      <c r="K37" s="230"/>
      <c r="L37" s="230"/>
      <c r="M37" s="230"/>
      <c r="N37" s="230"/>
      <c r="O37" s="230"/>
      <c r="P37" s="230"/>
      <c r="Q37" s="230"/>
      <c r="R37" s="230"/>
      <c r="S37" s="230"/>
    </row>
    <row r="38" spans="2:19" ht="26.25" customHeight="1">
      <c r="B38" s="277" t="s">
        <v>15</v>
      </c>
      <c r="C38" s="278"/>
      <c r="D38" s="278"/>
      <c r="E38" s="279" t="s">
        <v>16</v>
      </c>
      <c r="F38" s="276"/>
      <c r="G38" s="265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2:19" ht="26.25" customHeight="1">
      <c r="B39" s="273" t="s">
        <v>17</v>
      </c>
      <c r="C39" s="274"/>
      <c r="D39" s="274"/>
      <c r="E39" s="275" t="s">
        <v>18</v>
      </c>
      <c r="F39" s="276"/>
      <c r="G39" s="265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2:19" ht="26.25" customHeight="1">
      <c r="B40" s="277" t="s">
        <v>19</v>
      </c>
      <c r="C40" s="278" t="s">
        <v>37</v>
      </c>
      <c r="D40" s="278"/>
      <c r="E40" s="279" t="s">
        <v>24</v>
      </c>
      <c r="F40" s="276"/>
      <c r="G40" s="265"/>
      <c r="K40" s="230"/>
      <c r="L40" s="230"/>
      <c r="M40" s="230"/>
      <c r="N40" s="230"/>
      <c r="O40" s="230"/>
      <c r="P40" s="230"/>
      <c r="Q40" s="230"/>
      <c r="R40" s="230"/>
      <c r="S40" s="230"/>
    </row>
    <row r="41" spans="2:19" ht="26.25" customHeight="1">
      <c r="B41" s="273" t="s">
        <v>22</v>
      </c>
      <c r="C41" s="274" t="s">
        <v>24</v>
      </c>
      <c r="D41" s="274" t="s">
        <v>31</v>
      </c>
      <c r="E41" s="275" t="s">
        <v>26</v>
      </c>
      <c r="F41" s="276"/>
      <c r="G41" s="265"/>
      <c r="K41" s="230"/>
      <c r="L41" s="230"/>
      <c r="M41" s="230"/>
      <c r="N41" s="230"/>
      <c r="O41" s="230"/>
      <c r="P41" s="230"/>
      <c r="Q41" s="230"/>
      <c r="R41" s="230"/>
      <c r="S41" s="230"/>
    </row>
    <row r="42" spans="2:19" ht="26.25" customHeight="1">
      <c r="B42" s="277" t="s">
        <v>23</v>
      </c>
      <c r="C42" s="278" t="s">
        <v>24</v>
      </c>
      <c r="D42" s="278" t="s">
        <v>31</v>
      </c>
      <c r="E42" s="279" t="s">
        <v>26</v>
      </c>
      <c r="F42" s="276"/>
      <c r="G42" s="265"/>
      <c r="K42" s="230"/>
      <c r="L42" s="230"/>
      <c r="M42" s="230"/>
      <c r="N42" s="230"/>
      <c r="O42" s="230"/>
      <c r="P42" s="230"/>
      <c r="Q42" s="230"/>
      <c r="R42" s="230"/>
      <c r="S42" s="230"/>
    </row>
    <row r="43" spans="2:19" ht="26.25" customHeight="1">
      <c r="B43" s="273" t="s">
        <v>25</v>
      </c>
      <c r="C43" s="274" t="s">
        <v>24</v>
      </c>
      <c r="D43" s="274" t="s">
        <v>31</v>
      </c>
      <c r="E43" s="275" t="s">
        <v>26</v>
      </c>
      <c r="F43" s="276"/>
      <c r="G43" s="265"/>
      <c r="K43" s="230"/>
      <c r="L43" s="230"/>
      <c r="M43" s="230"/>
      <c r="N43" s="230"/>
      <c r="O43" s="230"/>
      <c r="P43" s="230"/>
      <c r="Q43" s="230"/>
      <c r="R43" s="230"/>
      <c r="S43" s="230"/>
    </row>
    <row r="44" spans="2:19" ht="26.25" customHeight="1">
      <c r="B44" s="277" t="s">
        <v>28</v>
      </c>
      <c r="C44" s="278" t="s">
        <v>24</v>
      </c>
      <c r="D44" s="278" t="s">
        <v>29</v>
      </c>
      <c r="E44" s="279" t="s">
        <v>27</v>
      </c>
      <c r="F44" s="276"/>
      <c r="G44" s="265"/>
      <c r="K44" s="230"/>
      <c r="L44" s="230"/>
      <c r="M44" s="230"/>
      <c r="N44" s="230"/>
      <c r="O44" s="230"/>
      <c r="P44" s="230"/>
      <c r="Q44" s="230"/>
      <c r="R44" s="230"/>
      <c r="S44" s="230"/>
    </row>
    <row r="45" spans="2:19" ht="26.25" customHeight="1">
      <c r="B45" s="273" t="s">
        <v>38</v>
      </c>
      <c r="C45" s="274" t="s">
        <v>31</v>
      </c>
      <c r="D45" s="274" t="s">
        <v>29</v>
      </c>
      <c r="E45" s="275" t="s">
        <v>39</v>
      </c>
      <c r="F45" s="276"/>
      <c r="G45" s="265"/>
      <c r="K45" s="230"/>
      <c r="L45" s="230"/>
      <c r="M45" s="230"/>
      <c r="N45" s="230"/>
      <c r="O45" s="230"/>
      <c r="P45" s="230"/>
      <c r="Q45" s="230"/>
      <c r="R45" s="230"/>
      <c r="S45" s="230"/>
    </row>
    <row r="46" spans="2:19" ht="26.25" customHeight="1">
      <c r="B46" s="277" t="s">
        <v>30</v>
      </c>
      <c r="C46" s="278" t="s">
        <v>31</v>
      </c>
      <c r="D46" s="278" t="s">
        <v>27</v>
      </c>
      <c r="E46" s="279" t="s">
        <v>40</v>
      </c>
      <c r="F46" s="276"/>
      <c r="G46" s="265"/>
      <c r="K46" s="230"/>
      <c r="L46" s="230"/>
      <c r="M46" s="230"/>
      <c r="N46" s="230"/>
      <c r="O46" s="230"/>
      <c r="P46" s="230"/>
      <c r="Q46" s="230"/>
      <c r="R46" s="230"/>
      <c r="S46" s="230"/>
    </row>
    <row r="47" spans="4:19" ht="23.25">
      <c r="D47" s="237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4:19" ht="23.25">
      <c r="D48" s="237"/>
      <c r="K48" s="230"/>
      <c r="L48" s="230"/>
      <c r="M48" s="230"/>
      <c r="N48" s="230"/>
      <c r="O48" s="230"/>
      <c r="P48" s="230"/>
      <c r="Q48" s="230"/>
      <c r="R48" s="230"/>
      <c r="S48" s="230"/>
    </row>
    <row r="49" spans="4:19" ht="23.25">
      <c r="D49" s="237"/>
      <c r="L49" s="230"/>
      <c r="M49" s="230"/>
      <c r="N49" s="230"/>
      <c r="O49" s="230"/>
      <c r="P49" s="230"/>
      <c r="Q49" s="230"/>
      <c r="R49" s="230"/>
      <c r="S49" s="230"/>
    </row>
    <row r="50" ht="12">
      <c r="D50" s="237"/>
    </row>
    <row r="51" ht="12">
      <c r="D51" s="237"/>
    </row>
    <row r="52" ht="12">
      <c r="D52" s="237"/>
    </row>
    <row r="53" ht="12">
      <c r="D53" s="237"/>
    </row>
    <row r="54" ht="12">
      <c r="D54" s="237"/>
    </row>
    <row r="55" ht="12">
      <c r="D55" s="237"/>
    </row>
    <row r="56" ht="12">
      <c r="D56" s="237"/>
    </row>
    <row r="57" ht="12">
      <c r="D57" s="237"/>
    </row>
    <row r="58" ht="12">
      <c r="D58" s="237"/>
    </row>
    <row r="59" ht="12">
      <c r="D59" s="237"/>
    </row>
    <row r="60" ht="12">
      <c r="D60" s="237"/>
    </row>
    <row r="61" ht="12">
      <c r="D61" s="237"/>
    </row>
    <row r="62" ht="12">
      <c r="D62" s="237"/>
    </row>
    <row r="63" ht="12">
      <c r="D63" s="237"/>
    </row>
    <row r="64" ht="12">
      <c r="D64" s="237"/>
    </row>
    <row r="65" ht="12">
      <c r="D65" s="237"/>
    </row>
    <row r="66" ht="12">
      <c r="D66" s="237"/>
    </row>
    <row r="67" ht="12">
      <c r="D67" s="237"/>
    </row>
    <row r="68" ht="12">
      <c r="D68" s="237"/>
    </row>
    <row r="69" ht="12">
      <c r="D69" s="237"/>
    </row>
    <row r="70" ht="12">
      <c r="D70" s="237"/>
    </row>
    <row r="71" ht="12">
      <c r="D71" s="237"/>
    </row>
    <row r="72" ht="12">
      <c r="D72" s="237"/>
    </row>
    <row r="73" ht="12">
      <c r="D73" s="237"/>
    </row>
    <row r="74" ht="12">
      <c r="D74" s="237"/>
    </row>
    <row r="75" ht="12">
      <c r="D75" s="237"/>
    </row>
    <row r="76" ht="12">
      <c r="D76" s="237"/>
    </row>
    <row r="77" ht="12">
      <c r="D77" s="237"/>
    </row>
    <row r="78" ht="12">
      <c r="D78" s="237"/>
    </row>
    <row r="79" ht="12">
      <c r="D79" s="237"/>
    </row>
    <row r="80" ht="12">
      <c r="D80" s="237"/>
    </row>
    <row r="81" ht="12">
      <c r="D81" s="237"/>
    </row>
    <row r="82" ht="12">
      <c r="D82" s="237"/>
    </row>
    <row r="83" ht="12">
      <c r="D83" s="237"/>
    </row>
    <row r="84" ht="12">
      <c r="D84" s="237"/>
    </row>
    <row r="85" ht="12">
      <c r="D85" s="237"/>
    </row>
    <row r="86" ht="12">
      <c r="D86" s="237"/>
    </row>
    <row r="87" ht="12">
      <c r="D87" s="237"/>
    </row>
    <row r="88" ht="12">
      <c r="D88" s="237"/>
    </row>
    <row r="89" ht="12">
      <c r="D89" s="237"/>
    </row>
    <row r="90" ht="12">
      <c r="D90" s="237"/>
    </row>
    <row r="91" ht="12">
      <c r="D91" s="237"/>
    </row>
    <row r="92" ht="12">
      <c r="D92" s="237"/>
    </row>
    <row r="93" ht="12">
      <c r="D93" s="237"/>
    </row>
  </sheetData>
  <sheetProtection password="CD3F" sheet="1" objects="1" scenarios="1"/>
  <mergeCells count="69">
    <mergeCell ref="U2:V3"/>
    <mergeCell ref="W2:W3"/>
    <mergeCell ref="U29:V29"/>
    <mergeCell ref="U24:V24"/>
    <mergeCell ref="U26:V26"/>
    <mergeCell ref="U18:W18"/>
    <mergeCell ref="S11:V11"/>
    <mergeCell ref="R5:S5"/>
    <mergeCell ref="K9:P9"/>
    <mergeCell ref="L22:M22"/>
    <mergeCell ref="R18:T18"/>
    <mergeCell ref="R16:T16"/>
    <mergeCell ref="K7:P7"/>
    <mergeCell ref="K2:L3"/>
    <mergeCell ref="M2:T3"/>
    <mergeCell ref="R7:S7"/>
    <mergeCell ref="O34:S34"/>
    <mergeCell ref="K14:P14"/>
    <mergeCell ref="Q24:S24"/>
    <mergeCell ref="Q26:S26"/>
    <mergeCell ref="R14:T14"/>
    <mergeCell ref="Q29:S29"/>
    <mergeCell ref="B35:E35"/>
    <mergeCell ref="B22:E22"/>
    <mergeCell ref="K11:P11"/>
    <mergeCell ref="K13:P13"/>
    <mergeCell ref="K20:P20"/>
    <mergeCell ref="B13:B14"/>
    <mergeCell ref="B15:B16"/>
    <mergeCell ref="G26:H26"/>
    <mergeCell ref="G28:H28"/>
    <mergeCell ref="G27:H27"/>
    <mergeCell ref="G29:H29"/>
    <mergeCell ref="B17:B18"/>
    <mergeCell ref="K1:T1"/>
    <mergeCell ref="R20:T20"/>
    <mergeCell ref="G5:I6"/>
    <mergeCell ref="K16:P16"/>
    <mergeCell ref="K18:P18"/>
    <mergeCell ref="R6:S6"/>
    <mergeCell ref="K6:P6"/>
    <mergeCell ref="K5:P5"/>
    <mergeCell ref="G22:I22"/>
    <mergeCell ref="G23:H23"/>
    <mergeCell ref="G25:H25"/>
    <mergeCell ref="G24:H24"/>
    <mergeCell ref="B1:D4"/>
    <mergeCell ref="E1:I1"/>
    <mergeCell ref="E20:I20"/>
    <mergeCell ref="D5:D6"/>
    <mergeCell ref="B11:B12"/>
    <mergeCell ref="B5:B6"/>
    <mergeCell ref="B7:B8"/>
    <mergeCell ref="C5:C6"/>
    <mergeCell ref="E5:E6"/>
    <mergeCell ref="B9:B10"/>
    <mergeCell ref="X29:Y29"/>
    <mergeCell ref="Z29:AA29"/>
    <mergeCell ref="X13:Y13"/>
    <mergeCell ref="X14:Y14"/>
    <mergeCell ref="Z13:AA13"/>
    <mergeCell ref="Z14:AA14"/>
    <mergeCell ref="X24:Y24"/>
    <mergeCell ref="Z24:AA24"/>
    <mergeCell ref="X26:Y26"/>
    <mergeCell ref="Z26:AA26"/>
    <mergeCell ref="X12:AA12"/>
    <mergeCell ref="X16:Y16"/>
    <mergeCell ref="Z16:AA16"/>
  </mergeCells>
  <dataValidations count="7">
    <dataValidation type="list" allowBlank="1" showInputMessage="1" showErrorMessage="1" error="Valeur non admise.&#10;Cliquez sur le triangle" sqref="S13 R11">
      <formula1>"1,2,3,4,5,6,7,8,9"</formula1>
    </dataValidation>
    <dataValidation type="list" allowBlank="1" showInputMessage="1" showErrorMessage="1" error="Valeur non admise.&#10;Cliquez sur le triangle" sqref="R9">
      <formula1>"6,7,8,9,10,11"</formula1>
    </dataValidation>
    <dataValidation type="list" allowBlank="1" showErrorMessage="1" promptTitle="Comment utiliser cette feuille ?" prompt="&#10;1) Vérifiez les données (onglet &quot;données à mettre à jour&quot;), notamment le montant de l'IRL dans votre dépatement&#10;&#10;2) Ne remplir que les cases grises (les calculs sont ensuite automatiques)&#10;&#10;3) Imprimez la feuille pour la donner aux collègues concerné(e)s" error="Valeur non admise.&#10;Cliquez sur le triangle" sqref="R7:S7">
      <formula1>"O,N"</formula1>
    </dataValidation>
    <dataValidation allowBlank="1" showInputMessage="1" showErrorMessage="1" error="Valeur non admise.&#10;Cliquez sur le triangle" sqref="Q12"/>
    <dataValidation allowBlank="1" showInputMessage="1" showErrorMessage="1" promptTitle="Comment utiliser cette feuille ?" prompt="&#10;1) Vérifiez les données (onglet &quot;données à mettre à jour&quot;), notamment le montant de l'IRL dans votre dépatement&#10;&#10;2) Ne remplir que les cases grises (les calculs sont ensuite automatiques)&#10;&#10;3) Imprimez la feuille pour la donner aux collègues concerné(e)s" sqref="M2:T3"/>
    <dataValidation type="list" allowBlank="1" showErrorMessage="1" promptTitle="Comment utiliser cette feuille ?" prompt="&#10;1) Vérifiez les données (onglet &quot;données à mettre à jour&quot;), notamment le montant de l'IRL dans votre dépatement&#10;&#10;2) Ne remplir que les cases grises (les calculs sont ensuite automatiques)&#10;&#10;3) Imprimez la feuille pour la donner aux collègues concerné(e)s" error="Valeur non admise.&#10;Cliquez sur le triangle" sqref="R5:S5">
      <formula1>"oui,non"</formula1>
    </dataValidation>
    <dataValidation type="list" allowBlank="1" showErrorMessage="1" promptTitle="Comment utiliser cette feuille ?" prompt="&#10;1) Vérifiez les données (onglet &quot;données à mettre à jour&quot;), notamment le montant de l'IRL dans votre dépatement&#10;&#10;2) Ne remplir que les cases grises (les calculs sont ensuite automatiques)&#10;&#10;3) Imprimez la feuille pour la donner aux collègues concerné(e)s" error="Valeur non admise.&#10;Cliquez sur le triangle" sqref="R6:S6">
      <formula1>"Célibataire, Marié(e)"</formula1>
    </dataValidation>
  </dataValidations>
  <hyperlinks>
    <hyperlink ref="S11:U11" location="Reclassement" display="pour le savoir cliquez ici"/>
    <hyperlink ref="E1" location="Calcul" display="pour revenir au calcul, cliquez ici"/>
    <hyperlink ref="E20" location="Calcul" display="pour revenir au calcul, cliquez ici"/>
    <hyperlink ref="U18" location="indemnité_diff" display="*"/>
    <hyperlink ref="O34" location="Calcul" display="pour revenir au calcul, cliquez ici"/>
  </hyperlinks>
  <printOptions horizontalCentered="1"/>
  <pageMargins left="0.3937007874015748" right="0.3937007874015748" top="0.2" bottom="0.21" header="0.21" footer="0.17"/>
  <pageSetup fitToHeight="1" fitToWidth="1" horizontalDpi="600" verticalDpi="600" orientation="landscape" paperSize="9" scale="44" r:id="rId3"/>
  <legacyDrawing r:id="rId2"/>
  <oleObjects>
    <oleObject progId="Word.Document.8" shapeId="15597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showGridLines="0" showRowColHeaders="0" zoomScale="85" zoomScaleNormal="85" zoomScaleSheetLayoutView="100" workbookViewId="0" topLeftCell="A1">
      <selection activeCell="J28" sqref="J28:L28"/>
    </sheetView>
  </sheetViews>
  <sheetFormatPr defaultColWidth="11.00390625" defaultRowHeight="12"/>
  <cols>
    <col min="1" max="1" width="3.00390625" style="1" customWidth="1"/>
    <col min="2" max="2" width="9.25390625" style="1" customWidth="1"/>
    <col min="3" max="3" width="10.875" style="1" customWidth="1"/>
    <col min="4" max="4" width="9.75390625" style="1" customWidth="1"/>
    <col min="5" max="5" width="11.375" style="1" customWidth="1"/>
    <col min="6" max="7" width="9.25390625" style="1" customWidth="1"/>
    <col min="8" max="8" width="10.125" style="1" customWidth="1"/>
    <col min="9" max="9" width="11.375" style="1" customWidth="1"/>
    <col min="10" max="10" width="9.25390625" style="1" customWidth="1"/>
    <col min="11" max="11" width="9.75390625" style="1" customWidth="1"/>
    <col min="12" max="12" width="10.125" style="1" customWidth="1"/>
    <col min="13" max="14" width="12.625" style="1" customWidth="1"/>
    <col min="15" max="15" width="12.75390625" style="1" customWidth="1"/>
    <col min="16" max="16384" width="12.625" style="1" customWidth="1"/>
  </cols>
  <sheetData>
    <row r="2" spans="2:10" ht="18" customHeight="1">
      <c r="B2" s="2" t="s">
        <v>52</v>
      </c>
      <c r="C2" s="3"/>
      <c r="D2" s="4"/>
      <c r="E2" s="3"/>
      <c r="F2" s="3"/>
      <c r="G2" s="3"/>
      <c r="H2" s="3"/>
      <c r="I2" s="3"/>
      <c r="J2" s="3"/>
    </row>
    <row r="3" ht="10.5" customHeight="1" thickBot="1">
      <c r="B3" s="5"/>
    </row>
    <row r="4" spans="2:13" s="6" customFormat="1" ht="36" customHeight="1" thickTop="1">
      <c r="B4" s="359" t="s">
        <v>79</v>
      </c>
      <c r="C4" s="360"/>
      <c r="D4" s="360"/>
      <c r="E4" s="360"/>
      <c r="F4" s="360"/>
      <c r="G4" s="360"/>
      <c r="H4" s="360"/>
      <c r="I4" s="360"/>
      <c r="J4" s="360"/>
      <c r="K4" s="361"/>
      <c r="L4" s="373" t="s">
        <v>53</v>
      </c>
      <c r="M4" s="374"/>
    </row>
    <row r="5" spans="2:13" s="6" customFormat="1" ht="36" customHeight="1" thickBot="1">
      <c r="B5" s="362"/>
      <c r="C5" s="363"/>
      <c r="D5" s="363"/>
      <c r="E5" s="363"/>
      <c r="F5" s="363"/>
      <c r="G5" s="363"/>
      <c r="H5" s="363"/>
      <c r="I5" s="363"/>
      <c r="J5" s="363"/>
      <c r="K5" s="364"/>
      <c r="L5" s="375">
        <f>'données à mettre à jour'!H2</f>
        <v>36922</v>
      </c>
      <c r="M5" s="376"/>
    </row>
    <row r="6" spans="2:8" s="7" customFormat="1" ht="9.75" customHeight="1" thickTop="1">
      <c r="B6" s="8"/>
      <c r="C6" s="8"/>
      <c r="D6" s="8"/>
      <c r="E6" s="8"/>
      <c r="F6" s="8"/>
      <c r="G6" s="8"/>
      <c r="H6" s="8"/>
    </row>
    <row r="7" spans="2:8" s="9" customFormat="1" ht="18" customHeight="1">
      <c r="B7" s="10"/>
      <c r="D7" s="11" t="s">
        <v>54</v>
      </c>
      <c r="E7" s="391">
        <f>'données à mettre à jour'!F2</f>
        <v>53.0196</v>
      </c>
      <c r="F7" s="392"/>
      <c r="G7" s="12">
        <f>E7*6.55957</f>
        <v>347.785777572</v>
      </c>
      <c r="H7" s="12"/>
    </row>
    <row r="8" spans="2:8" s="13" customFormat="1" ht="18" customHeight="1">
      <c r="B8" s="14"/>
      <c r="D8" s="15" t="s">
        <v>55</v>
      </c>
      <c r="E8" s="393">
        <f>ROUNDDOWN(E7/12,2)</f>
        <v>4.41</v>
      </c>
      <c r="F8" s="393"/>
      <c r="G8" s="17">
        <f>E8*6.55957</f>
        <v>28.927703700000002</v>
      </c>
      <c r="H8" s="18"/>
    </row>
    <row r="9" spans="2:8" s="13" customFormat="1" ht="18" customHeight="1">
      <c r="B9" s="14"/>
      <c r="D9" s="15" t="s">
        <v>56</v>
      </c>
      <c r="E9" s="393">
        <f>ROUNDDOWN($E$7/12,2)+ROUNDDOWN($E$7/12,2)*0.03-ROUNDDOWN($E$7/12,2)*0.0785-(ROUNDDOWN($E$7/12,2)+ROUNDDOWN($E$7/12,2)*0.03)*0.95*0.075-(ROUNDDOWN($E$7/12,2)+ROUNDDOWN($E$7/12,2)*0.03)*0.95*0.005-(ROUNDDOWN($E$7/12,2)+ROUNDDOWN($E$7/12,2)*0.03)*0.026-(ROUNDDOWN($E$7/12,2)+ROUNDDOWN($E$7/12,2)*0.03-ROUNDDOWN($E$7/12,2)*0.0785)*0.01</f>
        <v>3.69083925</v>
      </c>
      <c r="F9" s="393"/>
      <c r="G9" s="17">
        <f>E9*6.55957</f>
        <v>24.210318419122498</v>
      </c>
      <c r="H9" s="19" t="s">
        <v>57</v>
      </c>
    </row>
    <row r="10" spans="2:8" s="13" customFormat="1" ht="18" customHeight="1">
      <c r="B10" s="14"/>
      <c r="D10" s="20" t="s">
        <v>58</v>
      </c>
      <c r="E10" s="16"/>
      <c r="F10" s="16"/>
      <c r="G10" s="17"/>
      <c r="H10" s="19"/>
    </row>
    <row r="11" spans="2:13" s="13" customFormat="1" ht="22.5" customHeight="1" thickBot="1">
      <c r="B11" s="21"/>
      <c r="M11" s="22" t="s">
        <v>59</v>
      </c>
    </row>
    <row r="12" spans="2:13" s="23" customFormat="1" ht="19.5" customHeight="1" thickBot="1" thickTop="1">
      <c r="B12" s="24"/>
      <c r="C12" s="396" t="s">
        <v>60</v>
      </c>
      <c r="D12" s="397"/>
      <c r="E12" s="397"/>
      <c r="F12" s="397"/>
      <c r="G12" s="397"/>
      <c r="H12" s="397"/>
      <c r="I12" s="397"/>
      <c r="J12" s="397"/>
      <c r="K12" s="397"/>
      <c r="L12" s="398"/>
      <c r="M12" s="25"/>
    </row>
    <row r="13" spans="2:13" s="23" customFormat="1" ht="19.5" customHeight="1" thickBot="1" thickTop="1">
      <c r="B13" s="24"/>
      <c r="C13" s="379" t="s">
        <v>61</v>
      </c>
      <c r="D13" s="380"/>
      <c r="E13" s="381"/>
      <c r="F13" s="379" t="s">
        <v>62</v>
      </c>
      <c r="G13" s="380"/>
      <c r="H13" s="380"/>
      <c r="I13" s="381"/>
      <c r="J13" s="379" t="s">
        <v>63</v>
      </c>
      <c r="K13" s="380"/>
      <c r="L13" s="380"/>
      <c r="M13" s="381"/>
    </row>
    <row r="14" spans="2:13" s="26" customFormat="1" ht="19.5" customHeight="1" thickTop="1">
      <c r="B14" s="382" t="s">
        <v>10</v>
      </c>
      <c r="C14" s="384" t="s">
        <v>64</v>
      </c>
      <c r="D14" s="377" t="s">
        <v>65</v>
      </c>
      <c r="E14" s="378"/>
      <c r="F14" s="384" t="s">
        <v>64</v>
      </c>
      <c r="G14" s="402" t="s">
        <v>65</v>
      </c>
      <c r="H14" s="403"/>
      <c r="I14" s="401"/>
      <c r="J14" s="365" t="s">
        <v>64</v>
      </c>
      <c r="K14" s="399" t="s">
        <v>65</v>
      </c>
      <c r="L14" s="400"/>
      <c r="M14" s="401"/>
    </row>
    <row r="15" spans="2:13" s="26" customFormat="1" ht="42" thickBot="1">
      <c r="B15" s="383"/>
      <c r="C15" s="385"/>
      <c r="D15" s="27" t="s">
        <v>66</v>
      </c>
      <c r="E15" s="28" t="s">
        <v>67</v>
      </c>
      <c r="F15" s="404"/>
      <c r="G15" s="29" t="s">
        <v>68</v>
      </c>
      <c r="H15" s="29" t="s">
        <v>80</v>
      </c>
      <c r="I15" s="30" t="s">
        <v>69</v>
      </c>
      <c r="J15" s="366"/>
      <c r="K15" s="29" t="s">
        <v>68</v>
      </c>
      <c r="L15" s="29" t="s">
        <v>80</v>
      </c>
      <c r="M15" s="30" t="s">
        <v>69</v>
      </c>
    </row>
    <row r="16" spans="2:13" ht="19.5" customHeight="1" thickTop="1">
      <c r="B16" s="31">
        <v>1</v>
      </c>
      <c r="C16" s="32">
        <v>340</v>
      </c>
      <c r="D16" s="33">
        <f aca="true" t="shared" si="0" ref="D16:D26">ROUNDDOWN($E$7*C16/12,2)+ROUNDDOWN($E$7*C16/12,2)*0.03-ROUNDDOWN($E$7*C16/12,2)*0.0785-(ROUNDDOWN($E$7*C16/12,2)+ROUNDDOWN($E$7*C16/12,2)*0.03)*0.97*0.075-(ROUNDDOWN($E$7*C16/12,2)+ROUNDDOWN($E$7*C16/12,2)*0.03)*0.97*0.005-(ROUNDDOWN($E$7*C16/12,2)+ROUNDDOWN($E$7*C16/12,2)*0.03)*0.026-(ROUNDDOWN($E$7*C16/12,2)+ROUNDDOWN($E$7*C16/12,2)*0.03-ROUNDDOWN($E$7*C16/12,2)*0.0785-ROUND($E$7*C16/12*0.03*0.05,0))*0.01-ROUND((($E$7*C16/12)*0.03)*0.05,0)</f>
        <v>1252.78981494</v>
      </c>
      <c r="E16" s="34">
        <f aca="true" t="shared" si="1" ref="E16:E26">D16*6.55957</f>
        <v>8217.762486385976</v>
      </c>
      <c r="F16" s="35">
        <v>340</v>
      </c>
      <c r="G16" s="33">
        <f aca="true" t="shared" si="2" ref="G16:G26">ROUNDDOWN($E$7*F16/12,2)+ROUNDDOWN($E$7*F16/12,2)*0.03-ROUNDDOWN($E$7*F16/12,2)*0.0785-(ROUNDDOWN($E$7*F16/12,2)+ROUNDDOWN($E$7*F16/12,2)*0.03+ROUNDDOWN($F$28,2))*0.97*0.075-(ROUNDDOWN($E$7*F16/12,2)+ROUNDDOWN($E$7*F16/12,2)*0.03+ROUNDDOWN($F$28,2))*0.97*0.005-(ROUNDDOWN($E$7*F16/12,2)+ROUNDDOWN($E$7*F16/12,2)*0.03)*0.026-(ROUNDDOWN($E$7*F16/12,2)+ROUNDDOWN($E$7*F16/12,2)*0.03-ROUNDDOWN($E$7*F16/12,2)*0.0785-ROUND((($E$7*F16/12)*0.03+$F$28)*0.05,0))*0.01-ROUND((($E$7*F16/12)*0.03+$F$28)*0.05,0)</f>
        <v>1232.3249989400003</v>
      </c>
      <c r="H16" s="36">
        <f aca="true" t="shared" si="3" ref="H16:H26">G16+$F$28</f>
        <v>1393.9849989400004</v>
      </c>
      <c r="I16" s="37">
        <f aca="true" t="shared" si="4" ref="I16:I26">H16*6.55957</f>
        <v>9143.942179496858</v>
      </c>
      <c r="J16" s="35">
        <v>340</v>
      </c>
      <c r="K16" s="33">
        <f aca="true" t="shared" si="5" ref="K16:K26">ROUNDDOWN($E$7*J16/12,2)+ROUNDDOWN($E$7*J16/12,2)*0.03-ROUNDDOWN($E$7*J16/12,2)*0.0785-(ROUNDDOWN($E$7*J16/12,2)+ROUNDDOWN($E$7*J16/12,2)*0.03+ROUNDDOWN($J$28,2))*0.97*0.075-(ROUNDDOWN($E$7*J16/12,2)+ROUNDDOWN($E$7*J16/12,2)*0.03+ROUNDDOWN($J$28,2))*0.97*0.005-(ROUNDDOWN($E$7*J16/12,2)+ROUNDDOWN($E$7*J16/12,2)*0.03)*0.026-(ROUNDDOWN($E$7*J16/12,2)+ROUNDDOWN($E$7*J16/12,2)*0.03-ROUNDDOWN($E$7*J16/12,2)*0.0785-ROUND((($E$7*J16/12)*0.03+$J$28)*0.05,0))*0.01-ROUND((($E$7*J16/12)*0.03+$J$28)*0.05,0)</f>
        <v>1227.2084069400003</v>
      </c>
      <c r="L16" s="36">
        <f aca="true" t="shared" si="6" ref="L16:L26">K16+$J$28</f>
        <v>1429.2884069400002</v>
      </c>
      <c r="M16" s="34">
        <f aca="true" t="shared" si="7" ref="M16:M26">L16*6.55957</f>
        <v>9375.517355511416</v>
      </c>
    </row>
    <row r="17" spans="2:13" ht="19.5" customHeight="1">
      <c r="B17" s="38">
        <v>2</v>
      </c>
      <c r="C17" s="39">
        <v>356</v>
      </c>
      <c r="D17" s="40">
        <f t="shared" si="0"/>
        <v>1311.8355460700002</v>
      </c>
      <c r="E17" s="41">
        <f t="shared" si="1"/>
        <v>8605.07709293439</v>
      </c>
      <c r="F17" s="39">
        <v>356</v>
      </c>
      <c r="G17" s="40">
        <f t="shared" si="2"/>
        <v>1291.37073007</v>
      </c>
      <c r="H17" s="42">
        <f t="shared" si="3"/>
        <v>1453.0307300700001</v>
      </c>
      <c r="I17" s="43">
        <f t="shared" si="4"/>
        <v>9531.256786045271</v>
      </c>
      <c r="J17" s="39">
        <v>356</v>
      </c>
      <c r="K17" s="40">
        <f t="shared" si="5"/>
        <v>1286.25413807</v>
      </c>
      <c r="L17" s="42">
        <f t="shared" si="6"/>
        <v>1488.3341380699999</v>
      </c>
      <c r="M17" s="41">
        <f t="shared" si="7"/>
        <v>9762.831962059829</v>
      </c>
    </row>
    <row r="18" spans="2:13" ht="19.5" customHeight="1">
      <c r="B18" s="38">
        <v>3</v>
      </c>
      <c r="C18" s="39">
        <v>365</v>
      </c>
      <c r="D18" s="40">
        <f t="shared" si="0"/>
        <v>1345.04615959</v>
      </c>
      <c r="E18" s="41">
        <f t="shared" si="1"/>
        <v>8822.924437061776</v>
      </c>
      <c r="F18" s="39">
        <v>365</v>
      </c>
      <c r="G18" s="40">
        <f t="shared" si="2"/>
        <v>1323.5913435900002</v>
      </c>
      <c r="H18" s="42">
        <f t="shared" si="3"/>
        <v>1485.2513435900003</v>
      </c>
      <c r="I18" s="43">
        <f t="shared" si="4"/>
        <v>9742.610155872659</v>
      </c>
      <c r="J18" s="39">
        <v>365</v>
      </c>
      <c r="K18" s="40">
        <f t="shared" si="5"/>
        <v>1318.47475159</v>
      </c>
      <c r="L18" s="42">
        <f t="shared" si="6"/>
        <v>1520.55475159</v>
      </c>
      <c r="M18" s="41">
        <f t="shared" si="7"/>
        <v>9974.185331887216</v>
      </c>
    </row>
    <row r="19" spans="2:13" ht="19.5" customHeight="1">
      <c r="B19" s="38">
        <v>4</v>
      </c>
      <c r="C19" s="39">
        <v>372</v>
      </c>
      <c r="D19" s="40">
        <f t="shared" si="0"/>
        <v>1370.8812771999999</v>
      </c>
      <c r="E19" s="41">
        <f t="shared" si="1"/>
        <v>8992.391699482803</v>
      </c>
      <c r="F19" s="39">
        <v>372</v>
      </c>
      <c r="G19" s="40">
        <f t="shared" si="2"/>
        <v>1349.4264612</v>
      </c>
      <c r="H19" s="42">
        <f t="shared" si="3"/>
        <v>1511.0864612</v>
      </c>
      <c r="I19" s="43">
        <f t="shared" si="4"/>
        <v>9912.077418293684</v>
      </c>
      <c r="J19" s="39">
        <v>372</v>
      </c>
      <c r="K19" s="40">
        <f t="shared" si="5"/>
        <v>1344.3098692</v>
      </c>
      <c r="L19" s="42">
        <f t="shared" si="6"/>
        <v>1546.3898692</v>
      </c>
      <c r="M19" s="41">
        <f t="shared" si="7"/>
        <v>10143.652594308243</v>
      </c>
    </row>
    <row r="20" spans="2:13" ht="19.5" customHeight="1">
      <c r="B20" s="38">
        <v>5</v>
      </c>
      <c r="C20" s="39">
        <v>382</v>
      </c>
      <c r="D20" s="40">
        <f t="shared" si="0"/>
        <v>1406.80216783</v>
      </c>
      <c r="E20" s="41">
        <f t="shared" si="1"/>
        <v>9228.017296032633</v>
      </c>
      <c r="F20" s="39">
        <v>382</v>
      </c>
      <c r="G20" s="40">
        <f t="shared" si="2"/>
        <v>1386.3373518300002</v>
      </c>
      <c r="H20" s="42">
        <f t="shared" si="3"/>
        <v>1547.9973518300003</v>
      </c>
      <c r="I20" s="43">
        <f t="shared" si="4"/>
        <v>10154.196989143515</v>
      </c>
      <c r="J20" s="39">
        <v>382</v>
      </c>
      <c r="K20" s="40">
        <f t="shared" si="5"/>
        <v>1381.2207598300001</v>
      </c>
      <c r="L20" s="42">
        <f t="shared" si="6"/>
        <v>1583.30075983</v>
      </c>
      <c r="M20" s="41">
        <f t="shared" si="7"/>
        <v>10385.772165158074</v>
      </c>
    </row>
    <row r="21" spans="2:13" ht="19.5" customHeight="1">
      <c r="B21" s="38">
        <v>6</v>
      </c>
      <c r="C21" s="39">
        <v>389</v>
      </c>
      <c r="D21" s="40">
        <f t="shared" si="0"/>
        <v>1432.62893267</v>
      </c>
      <c r="E21" s="41">
        <f t="shared" si="1"/>
        <v>9397.429767874151</v>
      </c>
      <c r="F21" s="39">
        <v>389</v>
      </c>
      <c r="G21" s="40">
        <f t="shared" si="2"/>
        <v>1412.16411667</v>
      </c>
      <c r="H21" s="42">
        <f t="shared" si="3"/>
        <v>1573.8241166700002</v>
      </c>
      <c r="I21" s="43">
        <f t="shared" si="4"/>
        <v>10323.609460985033</v>
      </c>
      <c r="J21" s="39">
        <v>389</v>
      </c>
      <c r="K21" s="40">
        <f t="shared" si="5"/>
        <v>1407.04752467</v>
      </c>
      <c r="L21" s="42">
        <f t="shared" si="6"/>
        <v>1609.12752467</v>
      </c>
      <c r="M21" s="41">
        <f t="shared" si="7"/>
        <v>10555.184636999591</v>
      </c>
    </row>
    <row r="22" spans="2:13" ht="19.5" customHeight="1">
      <c r="B22" s="38">
        <v>7</v>
      </c>
      <c r="C22" s="39">
        <v>398</v>
      </c>
      <c r="D22" s="40">
        <f t="shared" si="0"/>
        <v>1465.84789896</v>
      </c>
      <c r="E22" s="41">
        <f t="shared" si="1"/>
        <v>9615.331902581047</v>
      </c>
      <c r="F22" s="39">
        <v>398</v>
      </c>
      <c r="G22" s="40">
        <f t="shared" si="2"/>
        <v>1445.38308296</v>
      </c>
      <c r="H22" s="42">
        <f t="shared" si="3"/>
        <v>1607.04308296</v>
      </c>
      <c r="I22" s="43">
        <f t="shared" si="4"/>
        <v>10541.511595691927</v>
      </c>
      <c r="J22" s="39">
        <v>398</v>
      </c>
      <c r="K22" s="40">
        <f t="shared" si="5"/>
        <v>1440.26649096</v>
      </c>
      <c r="L22" s="42">
        <f t="shared" si="6"/>
        <v>1642.34649096</v>
      </c>
      <c r="M22" s="41">
        <f t="shared" si="7"/>
        <v>10773.086771706487</v>
      </c>
    </row>
    <row r="23" spans="2:13" ht="19.5" customHeight="1">
      <c r="B23" s="38">
        <v>8</v>
      </c>
      <c r="C23" s="39">
        <v>419</v>
      </c>
      <c r="D23" s="40">
        <f t="shared" si="0"/>
        <v>1543.3448990200002</v>
      </c>
      <c r="E23" s="41">
        <f t="shared" si="1"/>
        <v>10123.678899264622</v>
      </c>
      <c r="F23" s="39">
        <v>419</v>
      </c>
      <c r="G23" s="40">
        <f t="shared" si="2"/>
        <v>1522.8800830200003</v>
      </c>
      <c r="H23" s="42">
        <f t="shared" si="3"/>
        <v>1684.5400830200003</v>
      </c>
      <c r="I23" s="43">
        <f t="shared" si="4"/>
        <v>11049.858592375504</v>
      </c>
      <c r="J23" s="39">
        <v>419</v>
      </c>
      <c r="K23" s="40">
        <f t="shared" si="5"/>
        <v>1517.7634910200002</v>
      </c>
      <c r="L23" s="42">
        <f t="shared" si="6"/>
        <v>1719.84349102</v>
      </c>
      <c r="M23" s="41">
        <f t="shared" si="7"/>
        <v>11281.433768390061</v>
      </c>
    </row>
    <row r="24" spans="2:13" ht="19.5" customHeight="1">
      <c r="B24" s="38">
        <v>9</v>
      </c>
      <c r="C24" s="39">
        <v>440</v>
      </c>
      <c r="D24" s="40">
        <f t="shared" si="0"/>
        <v>1620.85025185</v>
      </c>
      <c r="E24" s="41">
        <f t="shared" si="1"/>
        <v>10632.080686527705</v>
      </c>
      <c r="F24" s="39">
        <v>440</v>
      </c>
      <c r="G24" s="40">
        <f t="shared" si="2"/>
        <v>1600.3854358499998</v>
      </c>
      <c r="H24" s="42">
        <f t="shared" si="3"/>
        <v>1762.0454358499999</v>
      </c>
      <c r="I24" s="43">
        <f t="shared" si="4"/>
        <v>11558.260379638583</v>
      </c>
      <c r="J24" s="39">
        <v>440</v>
      </c>
      <c r="K24" s="40">
        <f t="shared" si="5"/>
        <v>1595.26884385</v>
      </c>
      <c r="L24" s="42">
        <f t="shared" si="6"/>
        <v>1797.3488438499999</v>
      </c>
      <c r="M24" s="41">
        <f t="shared" si="7"/>
        <v>11789.835555653144</v>
      </c>
    </row>
    <row r="25" spans="2:13" ht="19.5" customHeight="1">
      <c r="B25" s="38">
        <v>10</v>
      </c>
      <c r="C25" s="39">
        <v>468</v>
      </c>
      <c r="D25" s="40">
        <f t="shared" si="0"/>
        <v>1724.18236952</v>
      </c>
      <c r="E25" s="41">
        <f t="shared" si="1"/>
        <v>11309.894945632306</v>
      </c>
      <c r="F25" s="39">
        <v>468</v>
      </c>
      <c r="G25" s="40">
        <f t="shared" si="2"/>
        <v>1703.7175535200001</v>
      </c>
      <c r="H25" s="42">
        <f t="shared" si="3"/>
        <v>1865.3775535200002</v>
      </c>
      <c r="I25" s="43">
        <f t="shared" si="4"/>
        <v>12236.074638743188</v>
      </c>
      <c r="J25" s="39">
        <v>468</v>
      </c>
      <c r="K25" s="40">
        <f t="shared" si="5"/>
        <v>1698.6009615200003</v>
      </c>
      <c r="L25" s="42">
        <f t="shared" si="6"/>
        <v>1900.6809615200002</v>
      </c>
      <c r="M25" s="41">
        <f t="shared" si="7"/>
        <v>12467.649814757748</v>
      </c>
    </row>
    <row r="26" spans="2:13" ht="19.5" customHeight="1" thickBot="1">
      <c r="B26" s="44">
        <v>11</v>
      </c>
      <c r="C26" s="45">
        <v>514</v>
      </c>
      <c r="D26" s="46">
        <f t="shared" si="0"/>
        <v>1893.944067</v>
      </c>
      <c r="E26" s="47">
        <f t="shared" si="1"/>
        <v>12423.458683571189</v>
      </c>
      <c r="F26" s="45">
        <v>514</v>
      </c>
      <c r="G26" s="46">
        <f t="shared" si="2"/>
        <v>1873.479251</v>
      </c>
      <c r="H26" s="48">
        <f t="shared" si="3"/>
        <v>2035.139251</v>
      </c>
      <c r="I26" s="49">
        <f t="shared" si="4"/>
        <v>13349.63837668207</v>
      </c>
      <c r="J26" s="45">
        <v>514</v>
      </c>
      <c r="K26" s="46">
        <f t="shared" si="5"/>
        <v>1867.3726589999999</v>
      </c>
      <c r="L26" s="48">
        <f t="shared" si="6"/>
        <v>2069.452659</v>
      </c>
      <c r="M26" s="47">
        <f t="shared" si="7"/>
        <v>13574.71957839663</v>
      </c>
    </row>
    <row r="27" spans="3:11" ht="19.5" customHeight="1" thickBot="1" thickTop="1">
      <c r="C27" s="50"/>
      <c r="D27" s="50"/>
      <c r="E27" s="50"/>
      <c r="F27" s="394" t="s">
        <v>70</v>
      </c>
      <c r="G27" s="395"/>
      <c r="H27" s="395"/>
      <c r="I27" s="395"/>
      <c r="J27" s="395"/>
      <c r="K27" s="395"/>
    </row>
    <row r="28" spans="3:13" s="51" customFormat="1" ht="16.5" thickBot="1" thickTop="1">
      <c r="C28" s="52" t="s">
        <v>71</v>
      </c>
      <c r="D28" s="389">
        <f>'données à mettre à jour'!H4</f>
        <v>36525</v>
      </c>
      <c r="E28" s="390"/>
      <c r="F28" s="386">
        <f>'données à mettre à jour'!C4</f>
        <v>161.66</v>
      </c>
      <c r="G28" s="387"/>
      <c r="H28" s="387"/>
      <c r="I28" s="53">
        <f>F28*6.55957</f>
        <v>1060.4200862</v>
      </c>
      <c r="J28" s="386">
        <f>'données à mettre à jour'!F4</f>
        <v>202.08</v>
      </c>
      <c r="K28" s="387"/>
      <c r="L28" s="388"/>
      <c r="M28" s="53">
        <f>J28*6.55957</f>
        <v>1325.5579056000001</v>
      </c>
    </row>
    <row r="29" spans="3:11" s="51" customFormat="1" ht="39.75" customHeight="1" thickBot="1" thickTop="1">
      <c r="C29" s="54"/>
      <c r="D29" s="54"/>
      <c r="E29" s="54"/>
      <c r="F29" s="55"/>
      <c r="G29" s="55"/>
      <c r="H29" s="56"/>
      <c r="I29" s="57"/>
      <c r="J29" s="57"/>
      <c r="K29" s="57"/>
    </row>
    <row r="30" spans="3:13" ht="19.5" customHeight="1" thickBot="1" thickTop="1">
      <c r="C30" s="58" t="s">
        <v>72</v>
      </c>
      <c r="D30" s="59"/>
      <c r="E30" s="60"/>
      <c r="I30" s="51"/>
      <c r="L30" s="61"/>
      <c r="M30" s="61"/>
    </row>
    <row r="31" spans="2:14" s="9" customFormat="1" ht="19.5" customHeight="1" thickTop="1">
      <c r="B31" s="382" t="s">
        <v>10</v>
      </c>
      <c r="C31" s="384" t="s">
        <v>64</v>
      </c>
      <c r="D31" s="377" t="s">
        <v>65</v>
      </c>
      <c r="E31" s="378"/>
      <c r="I31" s="62"/>
      <c r="L31" s="63"/>
      <c r="M31" s="63"/>
      <c r="N31" s="63"/>
    </row>
    <row r="32" spans="2:5" s="64" customFormat="1" ht="19.5" customHeight="1" thickBot="1">
      <c r="B32" s="383"/>
      <c r="C32" s="385"/>
      <c r="D32" s="27" t="s">
        <v>66</v>
      </c>
      <c r="E32" s="28" t="s">
        <v>67</v>
      </c>
    </row>
    <row r="33" spans="2:14" s="64" customFormat="1" ht="19.5" customHeight="1" thickTop="1">
      <c r="B33" s="31">
        <v>1</v>
      </c>
      <c r="C33" s="32">
        <v>348</v>
      </c>
      <c r="D33" s="33">
        <f aca="true" t="shared" si="8" ref="D33:D43">ROUNDDOWN($E$7*C33/12,2)+ROUNDDOWN($E$7*C33/12,2)*0.03-ROUNDDOWN($E$7*C33/12,2)*0.0785-(ROUNDDOWN($E$7*C33/12,2)+ROUNDDOWN($E$7*C33/12,2)*0.03)*0.97*0.075-(ROUNDDOWN($E$7*C33/12,2)+ROUNDDOWN($E$7*C33/12,2)*0.03)*0.97*0.005-(ROUNDDOWN($E$7*C33/12,2)+ROUNDDOWN($E$7*C33/12,2)*0.03)*0.026-(ROUNDDOWN($E$7*C33/12,2)+ROUNDDOWN($E$7*C33/12,2)*0.03-ROUNDDOWN($E$7*C33/12,2)*0.0785-ROUND($E$7*C33/12*0.03*0.05,0))*0.01-ROUND((($E$7*C33/12)*0.03)*0.05,0)</f>
        <v>1282.30850412</v>
      </c>
      <c r="E33" s="34">
        <f aca="true" t="shared" si="9" ref="E33:E43">D33*6.55957</f>
        <v>8411.392394370429</v>
      </c>
      <c r="L33" s="65"/>
      <c r="M33" s="65"/>
      <c r="N33" s="65"/>
    </row>
    <row r="34" spans="2:14" s="64" customFormat="1" ht="19.5" customHeight="1" thickBot="1">
      <c r="B34" s="38">
        <v>2</v>
      </c>
      <c r="C34" s="39">
        <v>375</v>
      </c>
      <c r="D34" s="40">
        <f t="shared" si="8"/>
        <v>1381.9570502199997</v>
      </c>
      <c r="E34" s="41">
        <f t="shared" si="9"/>
        <v>9065.044007911603</v>
      </c>
      <c r="K34" s="66" t="s">
        <v>73</v>
      </c>
      <c r="L34" s="65"/>
      <c r="M34" s="65"/>
      <c r="N34" s="65"/>
    </row>
    <row r="35" spans="2:14" s="9" customFormat="1" ht="19.5" customHeight="1" thickTop="1">
      <c r="B35" s="38">
        <v>3</v>
      </c>
      <c r="C35" s="39">
        <v>394</v>
      </c>
      <c r="D35" s="40">
        <f t="shared" si="8"/>
        <v>1451.08855437</v>
      </c>
      <c r="E35" s="41">
        <f t="shared" si="9"/>
        <v>9518.516948588822</v>
      </c>
      <c r="F35" s="367" t="s">
        <v>81</v>
      </c>
      <c r="G35" s="368"/>
      <c r="H35" s="368"/>
      <c r="I35" s="369"/>
      <c r="K35" s="67" t="s">
        <v>82</v>
      </c>
      <c r="L35" s="1"/>
      <c r="M35" s="1"/>
      <c r="N35" s="1"/>
    </row>
    <row r="36" spans="2:14" ht="19.5" customHeight="1" thickBot="1">
      <c r="B36" s="38">
        <v>4</v>
      </c>
      <c r="C36" s="39">
        <v>415</v>
      </c>
      <c r="D36" s="40">
        <f t="shared" si="8"/>
        <v>1528.5855544299995</v>
      </c>
      <c r="E36" s="41">
        <f t="shared" si="9"/>
        <v>10026.863945272393</v>
      </c>
      <c r="F36" s="370"/>
      <c r="G36" s="371"/>
      <c r="H36" s="371"/>
      <c r="I36" s="372"/>
      <c r="K36" s="67" t="s">
        <v>83</v>
      </c>
      <c r="L36" s="68"/>
      <c r="M36" s="68"/>
      <c r="N36" s="68"/>
    </row>
    <row r="37" spans="2:14" ht="19.5" customHeight="1" thickTop="1">
      <c r="B37" s="38">
        <v>5</v>
      </c>
      <c r="C37" s="39">
        <v>438</v>
      </c>
      <c r="D37" s="40">
        <f t="shared" si="8"/>
        <v>1613.4664031700001</v>
      </c>
      <c r="E37" s="41">
        <f t="shared" si="9"/>
        <v>10583.645814241838</v>
      </c>
      <c r="F37" s="382" t="s">
        <v>10</v>
      </c>
      <c r="G37" s="365" t="s">
        <v>64</v>
      </c>
      <c r="H37" s="377" t="s">
        <v>65</v>
      </c>
      <c r="I37" s="378"/>
      <c r="K37" s="67" t="s">
        <v>84</v>
      </c>
      <c r="L37" s="68"/>
      <c r="M37" s="68"/>
      <c r="N37" s="68"/>
    </row>
    <row r="38" spans="2:11" ht="19.5" customHeight="1" thickBot="1">
      <c r="B38" s="38">
        <v>6</v>
      </c>
      <c r="C38" s="39">
        <v>466</v>
      </c>
      <c r="D38" s="40">
        <f t="shared" si="8"/>
        <v>1716.7985208400005</v>
      </c>
      <c r="E38" s="41">
        <f t="shared" si="9"/>
        <v>11261.460073346441</v>
      </c>
      <c r="F38" s="383"/>
      <c r="G38" s="366"/>
      <c r="H38" s="27" t="s">
        <v>66</v>
      </c>
      <c r="I38" s="28" t="s">
        <v>67</v>
      </c>
      <c r="K38" s="69" t="s">
        <v>74</v>
      </c>
    </row>
    <row r="39" spans="2:14" ht="19.5" customHeight="1" thickTop="1">
      <c r="B39" s="38">
        <v>7</v>
      </c>
      <c r="C39" s="39">
        <v>494</v>
      </c>
      <c r="D39" s="40">
        <f t="shared" si="8"/>
        <v>1820.1389912800003</v>
      </c>
      <c r="E39" s="41">
        <f t="shared" si="9"/>
        <v>11939.329123030551</v>
      </c>
      <c r="F39" s="70">
        <v>1</v>
      </c>
      <c r="G39" s="71">
        <v>494</v>
      </c>
      <c r="H39" s="33">
        <f aca="true" t="shared" si="10" ref="H39:H45">ROUNDDOWN($E$7*G39/12,2)+ROUNDDOWN($E$7*G39/12,2)*0.03-ROUNDDOWN($E$7*G39/12,2)*0.0785-(ROUNDDOWN($E$7*G39/12,2)+ROUNDDOWN($E$7*G39/12,2)*0.03)*0.97*0.075-(ROUNDDOWN($E$7*G39/12,2)+ROUNDDOWN($E$7*G39/12,2)*0.03)*0.97*0.005-(ROUNDDOWN($E$7*G39/12,2)+ROUNDDOWN($E$7*G39/12,2)*0.03)*0.026-(ROUNDDOWN($E$7*G39/12,2)+ROUNDDOWN($E$7*G39/12,2)*0.03-ROUNDDOWN($E$7*G39/12,2)*0.0785-ROUND($E$7*G39/12*0.03*0.05,0))*0.01-ROUND((($E$7*G39/12)*0.03)*0.05,0)</f>
        <v>1820.1389912800003</v>
      </c>
      <c r="I39" s="34">
        <f aca="true" t="shared" si="11" ref="I39:I45">H39*6.55957</f>
        <v>11939.329123030551</v>
      </c>
      <c r="K39" s="67" t="s">
        <v>85</v>
      </c>
      <c r="L39" s="72"/>
      <c r="M39" s="72"/>
      <c r="N39" s="72"/>
    </row>
    <row r="40" spans="2:9" ht="19.5" customHeight="1">
      <c r="B40" s="38">
        <v>8</v>
      </c>
      <c r="C40" s="39">
        <v>530</v>
      </c>
      <c r="D40" s="40">
        <f t="shared" si="8"/>
        <v>1951.99979813</v>
      </c>
      <c r="E40" s="41">
        <f t="shared" si="9"/>
        <v>12804.279315819604</v>
      </c>
      <c r="F40" s="38">
        <v>2</v>
      </c>
      <c r="G40" s="73">
        <v>559</v>
      </c>
      <c r="H40" s="40">
        <f t="shared" si="10"/>
        <v>2059.0238401399997</v>
      </c>
      <c r="I40" s="41">
        <f t="shared" si="11"/>
        <v>13506.311011067137</v>
      </c>
    </row>
    <row r="41" spans="2:11" ht="19.5" customHeight="1">
      <c r="B41" s="38">
        <v>9</v>
      </c>
      <c r="C41" s="39">
        <v>566</v>
      </c>
      <c r="D41" s="40">
        <f t="shared" si="8"/>
        <v>2084.8589577499997</v>
      </c>
      <c r="E41" s="41">
        <f t="shared" si="9"/>
        <v>13675.778273488166</v>
      </c>
      <c r="F41" s="38">
        <v>3</v>
      </c>
      <c r="G41" s="73">
        <v>600</v>
      </c>
      <c r="H41" s="40">
        <f t="shared" si="10"/>
        <v>2210.34262146</v>
      </c>
      <c r="I41" s="41">
        <f t="shared" si="11"/>
        <v>14498.897149450371</v>
      </c>
      <c r="K41" s="67" t="s">
        <v>86</v>
      </c>
    </row>
    <row r="42" spans="2:11" ht="19.5" customHeight="1">
      <c r="B42" s="38">
        <v>10</v>
      </c>
      <c r="C42" s="39">
        <v>611</v>
      </c>
      <c r="D42" s="40">
        <f t="shared" si="8"/>
        <v>2250.93708366</v>
      </c>
      <c r="E42" s="41">
        <f t="shared" si="9"/>
        <v>14765.179365863627</v>
      </c>
      <c r="F42" s="38">
        <v>4</v>
      </c>
      <c r="G42" s="73">
        <v>641</v>
      </c>
      <c r="H42" s="40">
        <f t="shared" si="10"/>
        <v>2361.6530500100002</v>
      </c>
      <c r="I42" s="41">
        <f t="shared" si="11"/>
        <v>15491.428497254097</v>
      </c>
      <c r="K42" s="69" t="s">
        <v>75</v>
      </c>
    </row>
    <row r="43" spans="2:9" ht="19.5" customHeight="1" thickBot="1">
      <c r="B43" s="44">
        <v>11</v>
      </c>
      <c r="C43" s="45">
        <v>657</v>
      </c>
      <c r="D43" s="46">
        <f t="shared" si="8"/>
        <v>2420.698781140001</v>
      </c>
      <c r="E43" s="47">
        <f t="shared" si="9"/>
        <v>15878.743103802515</v>
      </c>
      <c r="F43" s="38">
        <v>5</v>
      </c>
      <c r="G43" s="73">
        <v>694</v>
      </c>
      <c r="H43" s="40">
        <f t="shared" si="10"/>
        <v>2556.2598651000003</v>
      </c>
      <c r="I43" s="41">
        <f t="shared" si="11"/>
        <v>16767.965523314007</v>
      </c>
    </row>
    <row r="44" spans="6:11" ht="19.5" customHeight="1" thickTop="1">
      <c r="F44" s="38">
        <v>6</v>
      </c>
      <c r="G44" s="73">
        <v>740</v>
      </c>
      <c r="H44" s="40">
        <f t="shared" si="10"/>
        <v>2726.02156258</v>
      </c>
      <c r="I44" s="41">
        <f t="shared" si="11"/>
        <v>17881.52926125289</v>
      </c>
      <c r="K44" s="67" t="s">
        <v>87</v>
      </c>
    </row>
    <row r="45" spans="3:11" ht="19.5" customHeight="1" thickBot="1">
      <c r="C45" s="9"/>
      <c r="D45" s="9"/>
      <c r="E45" s="9"/>
      <c r="F45" s="44">
        <v>7</v>
      </c>
      <c r="G45" s="74">
        <v>782</v>
      </c>
      <c r="H45" s="46">
        <f t="shared" si="10"/>
        <v>2881.0239154700007</v>
      </c>
      <c r="I45" s="47">
        <f t="shared" si="11"/>
        <v>18898.278045199553</v>
      </c>
      <c r="K45" s="69" t="s">
        <v>76</v>
      </c>
    </row>
    <row r="46" spans="3:4" ht="15.75" thickTop="1">
      <c r="C46" s="64"/>
      <c r="D46" s="64"/>
    </row>
    <row r="47" spans="3:5" ht="15">
      <c r="C47" s="64"/>
      <c r="D47" s="64"/>
      <c r="E47" s="64"/>
    </row>
    <row r="48" spans="3:5" ht="15">
      <c r="C48" s="64"/>
      <c r="D48" s="64"/>
      <c r="E48" s="64"/>
    </row>
    <row r="49" spans="3:5" ht="15">
      <c r="C49" s="9"/>
      <c r="D49" s="9"/>
      <c r="E49" s="9"/>
    </row>
  </sheetData>
  <sheetProtection password="CD3F" sheet="1" objects="1" scenarios="1"/>
  <mergeCells count="28">
    <mergeCell ref="E7:F7"/>
    <mergeCell ref="E8:F8"/>
    <mergeCell ref="E9:F9"/>
    <mergeCell ref="F27:K27"/>
    <mergeCell ref="C12:L12"/>
    <mergeCell ref="J13:M13"/>
    <mergeCell ref="K14:M14"/>
    <mergeCell ref="F13:I13"/>
    <mergeCell ref="G14:I14"/>
    <mergeCell ref="F14:F15"/>
    <mergeCell ref="H37:I37"/>
    <mergeCell ref="B31:B32"/>
    <mergeCell ref="F37:F38"/>
    <mergeCell ref="F28:H28"/>
    <mergeCell ref="C31:C32"/>
    <mergeCell ref="D31:E31"/>
    <mergeCell ref="G37:G38"/>
    <mergeCell ref="D28:E28"/>
    <mergeCell ref="B4:K5"/>
    <mergeCell ref="J14:J15"/>
    <mergeCell ref="F35:I36"/>
    <mergeCell ref="L4:M4"/>
    <mergeCell ref="L5:M5"/>
    <mergeCell ref="D14:E14"/>
    <mergeCell ref="C13:E13"/>
    <mergeCell ref="B14:B15"/>
    <mergeCell ref="C14:C15"/>
    <mergeCell ref="J28:L28"/>
  </mergeCells>
  <conditionalFormatting sqref="B16:M26">
    <cfRule type="expression" priority="1" dxfId="0" stopIfTrue="1">
      <formula>(EVEN(ROW())=ROW())</formula>
    </cfRule>
  </conditionalFormatting>
  <conditionalFormatting sqref="B33:E43 F39:I45">
    <cfRule type="expression" priority="2" dxfId="0" stopIfTrue="1">
      <formula>(ODD(ROW())=ROW())</formula>
    </cfRule>
  </conditionalFormatting>
  <hyperlinks>
    <hyperlink ref="B2:J2" location="Intro!B8" display="Pour revenir à la page d'accueil, cliquez ici ou sur l'onglet Intro en bas de page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showGridLines="0" showRowColHeaders="0" zoomScale="80" zoomScaleNormal="80" zoomScaleSheetLayoutView="100" workbookViewId="0" topLeftCell="A1">
      <selection activeCell="M2" sqref="M2:T3"/>
    </sheetView>
  </sheetViews>
  <sheetFormatPr defaultColWidth="11.00390625" defaultRowHeight="12"/>
  <cols>
    <col min="1" max="1" width="3.00390625" style="1" customWidth="1"/>
    <col min="2" max="2" width="9.25390625" style="1" customWidth="1"/>
    <col min="3" max="3" width="10.875" style="1" customWidth="1"/>
    <col min="4" max="4" width="9.75390625" style="1" customWidth="1"/>
    <col min="5" max="5" width="11.375" style="1" customWidth="1"/>
    <col min="6" max="7" width="9.25390625" style="1" customWidth="1"/>
    <col min="8" max="8" width="10.125" style="1" customWidth="1"/>
    <col min="9" max="9" width="11.375" style="1" customWidth="1"/>
    <col min="10" max="10" width="9.25390625" style="1" customWidth="1"/>
    <col min="11" max="11" width="9.75390625" style="1" customWidth="1"/>
    <col min="12" max="12" width="10.125" style="1" customWidth="1"/>
    <col min="13" max="14" width="12.625" style="1" customWidth="1"/>
    <col min="15" max="15" width="12.75390625" style="1" customWidth="1"/>
    <col min="16" max="16384" width="12.625" style="1" customWidth="1"/>
  </cols>
  <sheetData>
    <row r="2" spans="2:10" ht="18" customHeight="1">
      <c r="B2" s="2" t="s">
        <v>52</v>
      </c>
      <c r="C2" s="3"/>
      <c r="D2" s="4"/>
      <c r="E2" s="3"/>
      <c r="F2" s="3"/>
      <c r="G2" s="3"/>
      <c r="H2" s="3"/>
      <c r="I2" s="3"/>
      <c r="J2" s="3"/>
    </row>
    <row r="3" ht="10.5" customHeight="1" thickBot="1">
      <c r="B3" s="5"/>
    </row>
    <row r="4" spans="2:13" s="6" customFormat="1" ht="36" customHeight="1" thickTop="1">
      <c r="B4" s="359" t="s">
        <v>88</v>
      </c>
      <c r="C4" s="360"/>
      <c r="D4" s="360"/>
      <c r="E4" s="360"/>
      <c r="F4" s="360"/>
      <c r="G4" s="360"/>
      <c r="H4" s="360"/>
      <c r="I4" s="360"/>
      <c r="J4" s="360"/>
      <c r="K4" s="361"/>
      <c r="L4" s="373" t="s">
        <v>53</v>
      </c>
      <c r="M4" s="374"/>
    </row>
    <row r="5" spans="2:13" s="6" customFormat="1" ht="36" customHeight="1" thickBot="1">
      <c r="B5" s="362"/>
      <c r="C5" s="363"/>
      <c r="D5" s="363"/>
      <c r="E5" s="363"/>
      <c r="F5" s="363"/>
      <c r="G5" s="363"/>
      <c r="H5" s="363"/>
      <c r="I5" s="363"/>
      <c r="J5" s="363"/>
      <c r="K5" s="364"/>
      <c r="L5" s="375">
        <f>'données à mettre à jour'!H2</f>
        <v>36922</v>
      </c>
      <c r="M5" s="376"/>
    </row>
    <row r="6" spans="2:8" s="7" customFormat="1" ht="9.75" customHeight="1" thickTop="1">
      <c r="B6" s="8"/>
      <c r="C6" s="8"/>
      <c r="D6" s="8"/>
      <c r="E6" s="8"/>
      <c r="F6" s="8"/>
      <c r="G6" s="8"/>
      <c r="H6" s="8"/>
    </row>
    <row r="7" spans="2:8" s="9" customFormat="1" ht="18" customHeight="1">
      <c r="B7" s="10"/>
      <c r="D7" s="11" t="s">
        <v>54</v>
      </c>
      <c r="E7" s="391">
        <f>'données à mettre à jour'!F2</f>
        <v>53.0196</v>
      </c>
      <c r="F7" s="392"/>
      <c r="G7" s="12">
        <f>E7*6.55957</f>
        <v>347.785777572</v>
      </c>
      <c r="H7" s="12"/>
    </row>
    <row r="8" spans="2:8" s="13" customFormat="1" ht="18" customHeight="1">
      <c r="B8" s="14"/>
      <c r="D8" s="15" t="s">
        <v>55</v>
      </c>
      <c r="E8" s="393">
        <f>ROUNDDOWN(E7/12,2)</f>
        <v>4.41</v>
      </c>
      <c r="F8" s="393"/>
      <c r="G8" s="17">
        <f>E8*6.55957</f>
        <v>28.927703700000002</v>
      </c>
      <c r="H8" s="18"/>
    </row>
    <row r="9" spans="2:8" s="13" customFormat="1" ht="18" customHeight="1">
      <c r="B9" s="14"/>
      <c r="D9" s="15" t="s">
        <v>56</v>
      </c>
      <c r="E9" s="393">
        <f>ROUNDDOWN($E$7/12,2)+ROUNDDOWN($E$7/12,2)*0.01-ROUNDDOWN($E$7/12,2)*0.0785-(ROUNDDOWN($E$7/12,2)+ROUNDDOWN($E$7/12,2)*0.01)*0.95*0.075-(ROUNDDOWN($E$7/12,2)+ROUNDDOWN($E$7/12,2)*0.01)*0.95*0.005-(ROUNDDOWN($E$7/12,2)+ROUNDDOWN($E$7/12,2)*0.01)*0.026-(ROUNDDOWN($E$7/12,2)+ROUNDDOWN($E$7/12,2)*0.01-ROUNDDOWN($E$7/12,2)*0.0785)*0.01</f>
        <v>3.6125176500000005</v>
      </c>
      <c r="F9" s="393"/>
      <c r="G9" s="17">
        <f>E9*6.55957</f>
        <v>23.696562401410503</v>
      </c>
      <c r="H9" s="19" t="s">
        <v>57</v>
      </c>
    </row>
    <row r="10" spans="2:8" s="13" customFormat="1" ht="18" customHeight="1">
      <c r="B10" s="14"/>
      <c r="D10" s="20" t="s">
        <v>77</v>
      </c>
      <c r="E10" s="16"/>
      <c r="F10" s="16"/>
      <c r="G10" s="17"/>
      <c r="H10" s="19"/>
    </row>
    <row r="11" spans="2:13" s="13" customFormat="1" ht="22.5" customHeight="1" thickBot="1">
      <c r="B11" s="21"/>
      <c r="M11" s="22" t="s">
        <v>59</v>
      </c>
    </row>
    <row r="12" spans="2:13" s="23" customFormat="1" ht="19.5" customHeight="1" thickBot="1" thickTop="1">
      <c r="B12" s="24"/>
      <c r="C12" s="396" t="s">
        <v>60</v>
      </c>
      <c r="D12" s="397"/>
      <c r="E12" s="397"/>
      <c r="F12" s="397"/>
      <c r="G12" s="397"/>
      <c r="H12" s="397"/>
      <c r="I12" s="397"/>
      <c r="J12" s="397"/>
      <c r="K12" s="397"/>
      <c r="L12" s="398"/>
      <c r="M12" s="25"/>
    </row>
    <row r="13" spans="2:13" s="23" customFormat="1" ht="19.5" customHeight="1" thickBot="1" thickTop="1">
      <c r="B13" s="24"/>
      <c r="C13" s="379" t="s">
        <v>61</v>
      </c>
      <c r="D13" s="380"/>
      <c r="E13" s="381"/>
      <c r="F13" s="379" t="s">
        <v>62</v>
      </c>
      <c r="G13" s="380"/>
      <c r="H13" s="380"/>
      <c r="I13" s="381"/>
      <c r="J13" s="379" t="s">
        <v>63</v>
      </c>
      <c r="K13" s="380"/>
      <c r="L13" s="380"/>
      <c r="M13" s="381"/>
    </row>
    <row r="14" spans="2:13" s="26" customFormat="1" ht="19.5" customHeight="1" thickTop="1">
      <c r="B14" s="382" t="s">
        <v>10</v>
      </c>
      <c r="C14" s="384" t="s">
        <v>64</v>
      </c>
      <c r="D14" s="377" t="s">
        <v>65</v>
      </c>
      <c r="E14" s="378"/>
      <c r="F14" s="384" t="s">
        <v>64</v>
      </c>
      <c r="G14" s="402" t="s">
        <v>65</v>
      </c>
      <c r="H14" s="403"/>
      <c r="I14" s="401"/>
      <c r="J14" s="365" t="s">
        <v>64</v>
      </c>
      <c r="K14" s="399" t="s">
        <v>65</v>
      </c>
      <c r="L14" s="400"/>
      <c r="M14" s="401"/>
    </row>
    <row r="15" spans="2:13" s="26" customFormat="1" ht="42" thickBot="1">
      <c r="B15" s="383"/>
      <c r="C15" s="385"/>
      <c r="D15" s="27" t="s">
        <v>66</v>
      </c>
      <c r="E15" s="28" t="s">
        <v>67</v>
      </c>
      <c r="F15" s="404"/>
      <c r="G15" s="29" t="s">
        <v>68</v>
      </c>
      <c r="H15" s="29" t="s">
        <v>80</v>
      </c>
      <c r="I15" s="30" t="s">
        <v>69</v>
      </c>
      <c r="J15" s="366"/>
      <c r="K15" s="29" t="s">
        <v>68</v>
      </c>
      <c r="L15" s="29" t="s">
        <v>80</v>
      </c>
      <c r="M15" s="30" t="s">
        <v>69</v>
      </c>
    </row>
    <row r="16" spans="2:15" ht="19.5" customHeight="1" thickTop="1">
      <c r="B16" s="31">
        <v>1</v>
      </c>
      <c r="C16" s="32">
        <v>340</v>
      </c>
      <c r="D16" s="33">
        <f aca="true" t="shared" si="0" ref="D16:D26">ROUNDDOWN($E$7*C16/12,2)+ROUNDDOWN($E$7*C16/12,2)*0.01-ROUNDDOWN($E$7*C16/12,2)*0.0785-(ROUNDDOWN($E$7*C16/12,2)+ROUNDDOWN($E$7*C16/12,2)*0.01)*0.97*0.075-(ROUNDDOWN($E$7*C16/12,2)+ROUNDDOWN($E$7*C16/12,2)*0.01)*0.97*0.005-(ROUNDDOWN($E$7*C16/12,2)+ROUNDDOWN($E$7*C16/12,2)*0.01)*0.026-(ROUNDDOWN($E$7*C16/12,2)+ROUNDDOWN($E$7*C16/12,2)*0.01-ROUNDDOWN($E$7*C16/12,2)*0.0785-ROUND($E$7*C16/12*0.01*0.05,0))*0.01-ROUND((($E$7*C16/12)*0.01)*0.05,0)</f>
        <v>1227.14845878</v>
      </c>
      <c r="E16" s="34">
        <f aca="true" t="shared" si="1" ref="E16:E26">D16*6.55957</f>
        <v>8049.566215759525</v>
      </c>
      <c r="F16" s="35">
        <v>340</v>
      </c>
      <c r="G16" s="33">
        <f aca="true" t="shared" si="2" ref="G16:G26">ROUNDDOWN($E$7*F16/12,2)+ROUNDDOWN($E$7*F16/12,2)*0.01-ROUNDDOWN($E$7*F16/12,2)*0.0785-(ROUNDDOWN($E$7*F16/12,2)+ROUNDDOWN($E$7*F16/12,2)*0.01+ROUNDDOWN($F$28,2))*0.97*0.075-(ROUNDDOWN($E$7*F16/12,2)+ROUNDDOWN($E$7*F16/12,2)*0.01+ROUNDDOWN($F$28,2))*0.97*0.005-(ROUNDDOWN($E$7*F16/12,2)+ROUNDDOWN($E$7*F16/12,2)*0.01)*0.026-(ROUNDDOWN($E$7*F16/12,2)+ROUNDDOWN($E$7*F16/12,2)*0.01-ROUNDDOWN($E$7*F16/12,2)*0.0785-ROUND((($E$7*F16/12)*0.01+$F$28)*0.05,0))*0.01-ROUND((($E$7*F16/12)*0.01+$F$28)*0.05,0)</f>
        <v>1206.6836427800001</v>
      </c>
      <c r="H16" s="36">
        <f aca="true" t="shared" si="3" ref="H16:H26">G16+$F$28</f>
        <v>1368.3436427800002</v>
      </c>
      <c r="I16" s="37">
        <f aca="true" t="shared" si="4" ref="I16:I26">H16*6.55957</f>
        <v>8975.745908870405</v>
      </c>
      <c r="J16" s="35">
        <v>340</v>
      </c>
      <c r="K16" s="33">
        <f aca="true" t="shared" si="5" ref="K16:K26">ROUNDDOWN($E$7*J16/12,2)+ROUNDDOWN($E$7*J16/12,2)*0.01-ROUNDDOWN($E$7*J16/12,2)*0.0785-(ROUNDDOWN($E$7*J16/12,2)+ROUNDDOWN($E$7*J16/12,2)*0.01+ROUNDDOWN($J$28,2))*0.97*0.075-(ROUNDDOWN($E$7*J16/12,2)+ROUNDDOWN($E$7*J16/12,2)*0.01+ROUNDDOWN($J$28,2))*0.97*0.005-(ROUNDDOWN($E$7*J16/12,2)+ROUNDDOWN($E$7*J16/12,2)*0.01)*0.026-(ROUNDDOWN($E$7*J16/12,2)+ROUNDDOWN($E$7*J16/12,2)*0.01-ROUNDDOWN($E$7*J16/12,2)*0.0785-ROUND((($E$7*J16/12)*0.01+$J$28)*0.05,0))*0.01-ROUND((($E$7*J16/12)*0.01+$J$28)*0.05,0)</f>
        <v>1201.5670507800003</v>
      </c>
      <c r="L16" s="36">
        <f aca="true" t="shared" si="6" ref="L16:L26">K16+$J$28</f>
        <v>1403.6470507800002</v>
      </c>
      <c r="M16" s="34">
        <f aca="true" t="shared" si="7" ref="M16:M26">L16*6.55957</f>
        <v>9207.321084884965</v>
      </c>
      <c r="O16" s="196"/>
    </row>
    <row r="17" spans="2:15" ht="19.5" customHeight="1">
      <c r="B17" s="38">
        <v>2</v>
      </c>
      <c r="C17" s="39">
        <v>356</v>
      </c>
      <c r="D17" s="40">
        <f t="shared" si="0"/>
        <v>1284.94099759</v>
      </c>
      <c r="E17" s="41">
        <f t="shared" si="1"/>
        <v>8428.660419561436</v>
      </c>
      <c r="F17" s="39">
        <v>356</v>
      </c>
      <c r="G17" s="40">
        <f t="shared" si="2"/>
        <v>1264.47618159</v>
      </c>
      <c r="H17" s="42">
        <f t="shared" si="3"/>
        <v>1426.13618159</v>
      </c>
      <c r="I17" s="43">
        <f t="shared" si="4"/>
        <v>9354.840112672317</v>
      </c>
      <c r="J17" s="39">
        <v>356</v>
      </c>
      <c r="K17" s="40">
        <f t="shared" si="5"/>
        <v>1259.35958959</v>
      </c>
      <c r="L17" s="42">
        <f t="shared" si="6"/>
        <v>1461.43958959</v>
      </c>
      <c r="M17" s="41">
        <f t="shared" si="7"/>
        <v>9586.415288686876</v>
      </c>
      <c r="O17" s="196"/>
    </row>
    <row r="18" spans="2:15" ht="19.5" customHeight="1">
      <c r="B18" s="38">
        <v>3</v>
      </c>
      <c r="C18" s="39">
        <v>365</v>
      </c>
      <c r="D18" s="40">
        <f t="shared" si="0"/>
        <v>1317.44674583</v>
      </c>
      <c r="E18" s="41">
        <f t="shared" si="1"/>
        <v>8641.884150544094</v>
      </c>
      <c r="F18" s="39">
        <v>365</v>
      </c>
      <c r="G18" s="40">
        <f t="shared" si="2"/>
        <v>1296.9819298300001</v>
      </c>
      <c r="H18" s="42">
        <f t="shared" si="3"/>
        <v>1458.6419298300002</v>
      </c>
      <c r="I18" s="43">
        <f t="shared" si="4"/>
        <v>9568.063843654974</v>
      </c>
      <c r="J18" s="39">
        <v>365</v>
      </c>
      <c r="K18" s="40">
        <f t="shared" si="5"/>
        <v>1291.86533783</v>
      </c>
      <c r="L18" s="42">
        <f t="shared" si="6"/>
        <v>1493.94533783</v>
      </c>
      <c r="M18" s="41">
        <f t="shared" si="7"/>
        <v>9799.639019669532</v>
      </c>
      <c r="O18" s="196"/>
    </row>
    <row r="19" spans="2:15" ht="19.5" customHeight="1">
      <c r="B19" s="38">
        <v>4</v>
      </c>
      <c r="C19" s="39">
        <v>372</v>
      </c>
      <c r="D19" s="40">
        <f t="shared" si="0"/>
        <v>1342.7335363999998</v>
      </c>
      <c r="E19" s="41">
        <f t="shared" si="1"/>
        <v>8807.754623363347</v>
      </c>
      <c r="F19" s="39">
        <v>372</v>
      </c>
      <c r="G19" s="40">
        <f t="shared" si="2"/>
        <v>1322.2687204</v>
      </c>
      <c r="H19" s="42">
        <f t="shared" si="3"/>
        <v>1483.9287204</v>
      </c>
      <c r="I19" s="43">
        <f t="shared" si="4"/>
        <v>9733.934316474228</v>
      </c>
      <c r="J19" s="39">
        <v>372</v>
      </c>
      <c r="K19" s="40">
        <f t="shared" si="5"/>
        <v>1317.1521284</v>
      </c>
      <c r="L19" s="42">
        <f t="shared" si="6"/>
        <v>1519.2321284</v>
      </c>
      <c r="M19" s="41">
        <f t="shared" si="7"/>
        <v>9965.509492488787</v>
      </c>
      <c r="O19" s="196"/>
    </row>
    <row r="20" spans="2:15" ht="19.5" customHeight="1">
      <c r="B20" s="38">
        <v>5</v>
      </c>
      <c r="C20" s="39">
        <v>382</v>
      </c>
      <c r="D20" s="40">
        <f t="shared" si="0"/>
        <v>1378.86102671</v>
      </c>
      <c r="E20" s="41">
        <f t="shared" si="1"/>
        <v>9044.735424976116</v>
      </c>
      <c r="F20" s="39">
        <v>382</v>
      </c>
      <c r="G20" s="40">
        <f t="shared" si="2"/>
        <v>1358.3962107099999</v>
      </c>
      <c r="H20" s="42">
        <f t="shared" si="3"/>
        <v>1520.05621071</v>
      </c>
      <c r="I20" s="43">
        <f t="shared" si="4"/>
        <v>9970.915118086994</v>
      </c>
      <c r="J20" s="39">
        <v>382</v>
      </c>
      <c r="K20" s="40">
        <f t="shared" si="5"/>
        <v>1353.27961871</v>
      </c>
      <c r="L20" s="42">
        <f t="shared" si="6"/>
        <v>1555.35961871</v>
      </c>
      <c r="M20" s="41">
        <f t="shared" si="7"/>
        <v>10202.490294101553</v>
      </c>
      <c r="O20" s="196"/>
    </row>
    <row r="21" spans="2:15" ht="19.5" customHeight="1">
      <c r="B21" s="38">
        <v>6</v>
      </c>
      <c r="C21" s="39">
        <v>389</v>
      </c>
      <c r="D21" s="40">
        <f t="shared" si="0"/>
        <v>1404.1396417900003</v>
      </c>
      <c r="E21" s="41">
        <f t="shared" si="1"/>
        <v>9210.552270096432</v>
      </c>
      <c r="F21" s="39">
        <v>389</v>
      </c>
      <c r="G21" s="40">
        <f t="shared" si="2"/>
        <v>1383.67482579</v>
      </c>
      <c r="H21" s="42">
        <f t="shared" si="3"/>
        <v>1545.3348257900002</v>
      </c>
      <c r="I21" s="43">
        <f t="shared" si="4"/>
        <v>10136.731963207312</v>
      </c>
      <c r="J21" s="39">
        <v>389</v>
      </c>
      <c r="K21" s="40">
        <f t="shared" si="5"/>
        <v>1378.5582337900003</v>
      </c>
      <c r="L21" s="42">
        <f t="shared" si="6"/>
        <v>1580.6382337900002</v>
      </c>
      <c r="M21" s="41">
        <f t="shared" si="7"/>
        <v>10368.307139221872</v>
      </c>
      <c r="O21" s="196"/>
    </row>
    <row r="22" spans="2:15" ht="19.5" customHeight="1">
      <c r="B22" s="38">
        <v>7</v>
      </c>
      <c r="C22" s="39">
        <v>398</v>
      </c>
      <c r="D22" s="40">
        <f t="shared" si="0"/>
        <v>1436.65356552</v>
      </c>
      <c r="E22" s="41">
        <f t="shared" si="1"/>
        <v>9423.829628778027</v>
      </c>
      <c r="F22" s="39">
        <v>398</v>
      </c>
      <c r="G22" s="40">
        <f t="shared" si="2"/>
        <v>1416.1887495199999</v>
      </c>
      <c r="H22" s="42">
        <f t="shared" si="3"/>
        <v>1577.84874952</v>
      </c>
      <c r="I22" s="43">
        <f t="shared" si="4"/>
        <v>10350.009321888905</v>
      </c>
      <c r="J22" s="39">
        <v>398</v>
      </c>
      <c r="K22" s="40">
        <f t="shared" si="5"/>
        <v>1411.07215752</v>
      </c>
      <c r="L22" s="42">
        <f t="shared" si="6"/>
        <v>1613.15215752</v>
      </c>
      <c r="M22" s="41">
        <f t="shared" si="7"/>
        <v>10581.584497903466</v>
      </c>
      <c r="O22" s="196"/>
    </row>
    <row r="23" spans="2:15" ht="19.5" customHeight="1">
      <c r="B23" s="38">
        <v>8</v>
      </c>
      <c r="C23" s="39">
        <v>419</v>
      </c>
      <c r="D23" s="40">
        <f t="shared" si="0"/>
        <v>1512.50576174</v>
      </c>
      <c r="E23" s="41">
        <f t="shared" si="1"/>
        <v>9921.387419536852</v>
      </c>
      <c r="F23" s="39">
        <v>419</v>
      </c>
      <c r="G23" s="40">
        <f t="shared" si="2"/>
        <v>1492.0409457399999</v>
      </c>
      <c r="H23" s="42">
        <f t="shared" si="3"/>
        <v>1653.70094574</v>
      </c>
      <c r="I23" s="43">
        <f t="shared" si="4"/>
        <v>10847.567112647732</v>
      </c>
      <c r="J23" s="39">
        <v>419</v>
      </c>
      <c r="K23" s="40">
        <f t="shared" si="5"/>
        <v>1486.92435374</v>
      </c>
      <c r="L23" s="42">
        <f t="shared" si="6"/>
        <v>1689.00435374</v>
      </c>
      <c r="M23" s="41">
        <f t="shared" si="7"/>
        <v>11079.142288662291</v>
      </c>
      <c r="O23" s="196"/>
    </row>
    <row r="24" spans="2:15" ht="19.5" customHeight="1">
      <c r="B24" s="38">
        <v>9</v>
      </c>
      <c r="C24" s="39">
        <v>440</v>
      </c>
      <c r="D24" s="40">
        <f t="shared" si="0"/>
        <v>1588.3661334499998</v>
      </c>
      <c r="E24" s="41">
        <f t="shared" si="1"/>
        <v>10418.998837994615</v>
      </c>
      <c r="F24" s="39">
        <v>440</v>
      </c>
      <c r="G24" s="40">
        <f t="shared" si="2"/>
        <v>1567.90131745</v>
      </c>
      <c r="H24" s="42">
        <f t="shared" si="3"/>
        <v>1729.5613174500002</v>
      </c>
      <c r="I24" s="43">
        <f t="shared" si="4"/>
        <v>11345.178531105497</v>
      </c>
      <c r="J24" s="39">
        <v>440</v>
      </c>
      <c r="K24" s="40">
        <f t="shared" si="5"/>
        <v>1562.7847254499998</v>
      </c>
      <c r="L24" s="42">
        <f t="shared" si="6"/>
        <v>1764.8647254499997</v>
      </c>
      <c r="M24" s="41">
        <f t="shared" si="7"/>
        <v>11576.753707120055</v>
      </c>
      <c r="O24" s="196"/>
    </row>
    <row r="25" spans="2:15" ht="19.5" customHeight="1">
      <c r="B25" s="38">
        <v>10</v>
      </c>
      <c r="C25" s="39">
        <v>468</v>
      </c>
      <c r="D25" s="40">
        <f t="shared" si="0"/>
        <v>1689.5051202400002</v>
      </c>
      <c r="E25" s="41">
        <f t="shared" si="1"/>
        <v>11082.427101572697</v>
      </c>
      <c r="F25" s="39">
        <v>468</v>
      </c>
      <c r="G25" s="40">
        <f t="shared" si="2"/>
        <v>1669.04030424</v>
      </c>
      <c r="H25" s="42">
        <f t="shared" si="3"/>
        <v>1830.7003042400002</v>
      </c>
      <c r="I25" s="43">
        <f t="shared" si="4"/>
        <v>12008.606794683577</v>
      </c>
      <c r="J25" s="39">
        <v>468</v>
      </c>
      <c r="K25" s="40">
        <f t="shared" si="5"/>
        <v>1663.9237122400002</v>
      </c>
      <c r="L25" s="42">
        <f t="shared" si="6"/>
        <v>1866.0037122400001</v>
      </c>
      <c r="M25" s="41">
        <f t="shared" si="7"/>
        <v>12240.181970698137</v>
      </c>
      <c r="O25" s="196"/>
    </row>
    <row r="26" spans="2:15" ht="19.5" customHeight="1" thickBot="1">
      <c r="B26" s="44">
        <v>11</v>
      </c>
      <c r="C26" s="45">
        <v>514</v>
      </c>
      <c r="D26" s="46">
        <f t="shared" si="0"/>
        <v>1855.6637789999997</v>
      </c>
      <c r="E26" s="47">
        <f t="shared" si="1"/>
        <v>12172.356454815028</v>
      </c>
      <c r="F26" s="45">
        <v>514</v>
      </c>
      <c r="G26" s="46">
        <f t="shared" si="2"/>
        <v>1835.1989629999998</v>
      </c>
      <c r="H26" s="48">
        <f t="shared" si="3"/>
        <v>1996.858963</v>
      </c>
      <c r="I26" s="49">
        <f t="shared" si="4"/>
        <v>13098.53614792591</v>
      </c>
      <c r="J26" s="45">
        <v>514</v>
      </c>
      <c r="K26" s="46">
        <f t="shared" si="5"/>
        <v>1830.082371</v>
      </c>
      <c r="L26" s="48">
        <f t="shared" si="6"/>
        <v>2032.162371</v>
      </c>
      <c r="M26" s="47">
        <f t="shared" si="7"/>
        <v>13330.11132394047</v>
      </c>
      <c r="O26" s="196"/>
    </row>
    <row r="27" spans="3:11" ht="19.5" customHeight="1" thickBot="1" thickTop="1">
      <c r="C27" s="50"/>
      <c r="D27" s="50"/>
      <c r="E27" s="50"/>
      <c r="F27" s="394" t="s">
        <v>70</v>
      </c>
      <c r="G27" s="395"/>
      <c r="H27" s="395"/>
      <c r="I27" s="395"/>
      <c r="J27" s="395"/>
      <c r="K27" s="395"/>
    </row>
    <row r="28" spans="3:13" s="51" customFormat="1" ht="16.5" thickBot="1" thickTop="1">
      <c r="C28" s="52" t="s">
        <v>71</v>
      </c>
      <c r="D28" s="389">
        <f>'données à mettre à jour'!H4</f>
        <v>36525</v>
      </c>
      <c r="E28" s="390"/>
      <c r="F28" s="386">
        <f>'données à mettre à jour'!C4</f>
        <v>161.66</v>
      </c>
      <c r="G28" s="387"/>
      <c r="H28" s="387"/>
      <c r="I28" s="53">
        <f>F28*6.55957</f>
        <v>1060.4200862</v>
      </c>
      <c r="J28" s="386">
        <f>'données à mettre à jour'!F4</f>
        <v>202.08</v>
      </c>
      <c r="K28" s="387"/>
      <c r="L28" s="388"/>
      <c r="M28" s="53">
        <f>J28*6.55957</f>
        <v>1325.5579056000001</v>
      </c>
    </row>
    <row r="29" spans="3:11" s="51" customFormat="1" ht="39.75" customHeight="1" thickBot="1" thickTop="1">
      <c r="C29" s="54"/>
      <c r="D29" s="54"/>
      <c r="E29" s="54"/>
      <c r="F29" s="55"/>
      <c r="G29" s="55"/>
      <c r="H29" s="56"/>
      <c r="I29" s="57"/>
      <c r="J29" s="57"/>
      <c r="K29" s="57"/>
    </row>
    <row r="30" spans="3:13" ht="19.5" customHeight="1" thickBot="1" thickTop="1">
      <c r="C30" s="58" t="s">
        <v>72</v>
      </c>
      <c r="D30" s="59"/>
      <c r="E30" s="60"/>
      <c r="I30" s="51"/>
      <c r="L30" s="61"/>
      <c r="M30" s="61"/>
    </row>
    <row r="31" spans="2:14" s="9" customFormat="1" ht="19.5" customHeight="1" thickTop="1">
      <c r="B31" s="382" t="s">
        <v>10</v>
      </c>
      <c r="C31" s="384" t="s">
        <v>64</v>
      </c>
      <c r="D31" s="377" t="s">
        <v>65</v>
      </c>
      <c r="E31" s="378"/>
      <c r="I31" s="62"/>
      <c r="L31" s="63"/>
      <c r="M31" s="63"/>
      <c r="N31" s="63"/>
    </row>
    <row r="32" spans="2:5" s="64" customFormat="1" ht="19.5" customHeight="1" thickBot="1">
      <c r="B32" s="383"/>
      <c r="C32" s="385"/>
      <c r="D32" s="27" t="s">
        <v>66</v>
      </c>
      <c r="E32" s="28" t="s">
        <v>67</v>
      </c>
    </row>
    <row r="33" spans="2:14" s="64" customFormat="1" ht="19.5" customHeight="1" thickTop="1">
      <c r="B33" s="31">
        <v>1</v>
      </c>
      <c r="C33" s="32">
        <v>348</v>
      </c>
      <c r="D33" s="33">
        <f aca="true" t="shared" si="8" ref="D33:D43">ROUNDDOWN($E$7*C33/12,2)+ROUNDDOWN($E$7*C33/12,2)*0.01-ROUNDDOWN($E$7*C33/12,2)*0.0785-(ROUNDDOWN($E$7*C33/12,2)+ROUNDDOWN($E$7*C33/12,2)*0.01)*0.97*0.075-(ROUNDDOWN($E$7*C33/12,2)+ROUNDDOWN($E$7*C33/12,2)*0.01)*0.97*0.005-(ROUNDDOWN($E$7*C33/12,2)+ROUNDDOWN($E$7*C33/12,2)*0.01)*0.026-(ROUNDDOWN($E$7*C33/12,2)+ROUNDDOWN($E$7*C33/12,2)*0.01-ROUNDDOWN($E$7*C33/12,2)*0.0785-ROUND($E$7*C33/12*0.01*0.05,0))*0.01-ROUND((($E$7*C33/12)*0.01)*0.05,0)</f>
        <v>1256.0406404399998</v>
      </c>
      <c r="E33" s="34">
        <f aca="true" t="shared" si="9" ref="E33:E43">D33*6.55957</f>
        <v>8239.08650381101</v>
      </c>
      <c r="L33" s="65"/>
      <c r="M33" s="65"/>
      <c r="N33" s="65"/>
    </row>
    <row r="34" spans="2:14" s="64" customFormat="1" ht="19.5" customHeight="1" thickBot="1">
      <c r="B34" s="38">
        <v>2</v>
      </c>
      <c r="C34" s="39">
        <v>375</v>
      </c>
      <c r="D34" s="40">
        <f t="shared" si="8"/>
        <v>1353.5742361399998</v>
      </c>
      <c r="E34" s="41">
        <f t="shared" si="9"/>
        <v>8878.864952156859</v>
      </c>
      <c r="K34" s="66" t="s">
        <v>73</v>
      </c>
      <c r="L34" s="65"/>
      <c r="M34" s="65"/>
      <c r="N34" s="65"/>
    </row>
    <row r="35" spans="2:14" s="9" customFormat="1" ht="19.5" customHeight="1" thickTop="1">
      <c r="B35" s="38">
        <v>3</v>
      </c>
      <c r="C35" s="39">
        <v>394</v>
      </c>
      <c r="D35" s="40">
        <f t="shared" si="8"/>
        <v>1422.20747469</v>
      </c>
      <c r="E35" s="41">
        <f t="shared" si="9"/>
        <v>9329.069484752283</v>
      </c>
      <c r="F35" s="367" t="s">
        <v>81</v>
      </c>
      <c r="G35" s="368"/>
      <c r="H35" s="368"/>
      <c r="I35" s="369"/>
      <c r="K35" s="67" t="s">
        <v>82</v>
      </c>
      <c r="L35" s="1"/>
      <c r="M35" s="1"/>
      <c r="N35" s="1"/>
    </row>
    <row r="36" spans="2:14" ht="19.5" customHeight="1" thickBot="1">
      <c r="B36" s="38">
        <v>4</v>
      </c>
      <c r="C36" s="39">
        <v>415</v>
      </c>
      <c r="D36" s="40">
        <f t="shared" si="8"/>
        <v>1498.0596709099998</v>
      </c>
      <c r="E36" s="41">
        <f t="shared" si="9"/>
        <v>9826.627275511108</v>
      </c>
      <c r="F36" s="370"/>
      <c r="G36" s="371"/>
      <c r="H36" s="371"/>
      <c r="I36" s="372"/>
      <c r="K36" s="67" t="s">
        <v>83</v>
      </c>
      <c r="L36" s="68"/>
      <c r="M36" s="68"/>
      <c r="N36" s="68"/>
    </row>
    <row r="37" spans="2:14" ht="19.5" customHeight="1" thickTop="1">
      <c r="B37" s="38">
        <v>5</v>
      </c>
      <c r="C37" s="39">
        <v>438</v>
      </c>
      <c r="D37" s="40">
        <f t="shared" si="8"/>
        <v>1581.1390002900002</v>
      </c>
      <c r="E37" s="41">
        <f t="shared" si="9"/>
        <v>10371.591952132278</v>
      </c>
      <c r="F37" s="382" t="s">
        <v>10</v>
      </c>
      <c r="G37" s="365" t="s">
        <v>64</v>
      </c>
      <c r="H37" s="377" t="s">
        <v>65</v>
      </c>
      <c r="I37" s="378"/>
      <c r="K37" s="67" t="s">
        <v>84</v>
      </c>
      <c r="L37" s="68"/>
      <c r="M37" s="68"/>
      <c r="N37" s="68"/>
    </row>
    <row r="38" spans="2:11" ht="19.5" customHeight="1" thickBot="1">
      <c r="B38" s="38">
        <v>6</v>
      </c>
      <c r="C38" s="39">
        <v>466</v>
      </c>
      <c r="D38" s="40">
        <f t="shared" si="8"/>
        <v>1682.27798708</v>
      </c>
      <c r="E38" s="41">
        <f t="shared" si="9"/>
        <v>11035.020215710356</v>
      </c>
      <c r="F38" s="383"/>
      <c r="G38" s="366"/>
      <c r="H38" s="27" t="s">
        <v>66</v>
      </c>
      <c r="I38" s="28" t="s">
        <v>67</v>
      </c>
      <c r="K38" s="69" t="s">
        <v>74</v>
      </c>
    </row>
    <row r="39" spans="2:14" ht="19.5" customHeight="1" thickTop="1">
      <c r="B39" s="38">
        <v>7</v>
      </c>
      <c r="C39" s="39">
        <v>494</v>
      </c>
      <c r="D39" s="40">
        <f t="shared" si="8"/>
        <v>1783.4251493599998</v>
      </c>
      <c r="E39" s="41">
        <f t="shared" si="9"/>
        <v>11698.502106987373</v>
      </c>
      <c r="F39" s="70">
        <v>1</v>
      </c>
      <c r="G39" s="71">
        <v>494</v>
      </c>
      <c r="H39" s="33">
        <f aca="true" t="shared" si="10" ref="H39:H45">ROUNDDOWN($E$7*G39/12,2)+ROUNDDOWN($E$7*G39/12,2)*0.01-ROUNDDOWN($E$7*G39/12,2)*0.0785-(ROUNDDOWN($E$7*G39/12,2)+ROUNDDOWN($E$7*G39/12,2)*0.01)*0.97*0.075-(ROUNDDOWN($E$7*G39/12,2)+ROUNDDOWN($E$7*G39/12,2)*0.01)*0.97*0.005-(ROUNDDOWN($E$7*G39/12,2)+ROUNDDOWN($E$7*G39/12,2)*0.01)*0.026-(ROUNDDOWN($E$7*G39/12,2)+ROUNDDOWN($E$7*G39/12,2)*0.01-ROUNDDOWN($E$7*G39/12,2)*0.0785-ROUND($E$7*G39/12*0.01*0.05,0))*0.01-ROUND((($E$7*G39/12)*0.01)*0.05,0)</f>
        <v>1783.4251493599998</v>
      </c>
      <c r="I39" s="34">
        <f aca="true" t="shared" si="11" ref="I39:I45">H39*6.55957</f>
        <v>11698.502106987373</v>
      </c>
      <c r="K39" s="67" t="s">
        <v>85</v>
      </c>
      <c r="L39" s="72"/>
      <c r="M39" s="72"/>
      <c r="N39" s="72"/>
    </row>
    <row r="40" spans="2:9" ht="19.5" customHeight="1">
      <c r="B40" s="38">
        <v>8</v>
      </c>
      <c r="C40" s="39">
        <v>530</v>
      </c>
      <c r="D40" s="40">
        <f t="shared" si="8"/>
        <v>1913.45631781</v>
      </c>
      <c r="E40" s="41">
        <f t="shared" si="9"/>
        <v>12551.450658616941</v>
      </c>
      <c r="F40" s="38">
        <v>2</v>
      </c>
      <c r="G40" s="73">
        <v>559</v>
      </c>
      <c r="H40" s="40">
        <f t="shared" si="10"/>
        <v>2018.20887118</v>
      </c>
      <c r="I40" s="41">
        <f t="shared" si="11"/>
        <v>13238.582365126193</v>
      </c>
    </row>
    <row r="41" spans="2:11" ht="19.5" customHeight="1">
      <c r="B41" s="38">
        <v>9</v>
      </c>
      <c r="C41" s="39">
        <v>566</v>
      </c>
      <c r="D41" s="40">
        <f t="shared" si="8"/>
        <v>2043.4956617499997</v>
      </c>
      <c r="E41" s="41">
        <f t="shared" si="9"/>
        <v>13404.452837945446</v>
      </c>
      <c r="F41" s="38">
        <v>3</v>
      </c>
      <c r="G41" s="73">
        <v>600</v>
      </c>
      <c r="H41" s="40">
        <f t="shared" si="10"/>
        <v>2166.31604802</v>
      </c>
      <c r="I41" s="41">
        <f t="shared" si="11"/>
        <v>14210.10175911055</v>
      </c>
      <c r="K41" s="67" t="s">
        <v>86</v>
      </c>
    </row>
    <row r="42" spans="2:11" ht="19.5" customHeight="1">
      <c r="B42" s="38">
        <v>10</v>
      </c>
      <c r="C42" s="39">
        <v>611</v>
      </c>
      <c r="D42" s="40">
        <f t="shared" si="8"/>
        <v>2206.04892942</v>
      </c>
      <c r="E42" s="41">
        <f t="shared" si="9"/>
        <v>14470.73237595555</v>
      </c>
      <c r="F42" s="38">
        <v>4</v>
      </c>
      <c r="G42" s="73">
        <v>641</v>
      </c>
      <c r="H42" s="40">
        <f t="shared" si="10"/>
        <v>2314.41504937</v>
      </c>
      <c r="I42" s="41">
        <f t="shared" si="11"/>
        <v>15181.56752539597</v>
      </c>
      <c r="K42" s="69" t="s">
        <v>75</v>
      </c>
    </row>
    <row r="43" spans="2:9" ht="19.5" customHeight="1" thickBot="1">
      <c r="B43" s="44">
        <v>11</v>
      </c>
      <c r="C43" s="45">
        <v>657</v>
      </c>
      <c r="D43" s="46">
        <f t="shared" si="8"/>
        <v>2372.2075881800006</v>
      </c>
      <c r="E43" s="47">
        <f t="shared" si="9"/>
        <v>15560.661729197886</v>
      </c>
      <c r="F43" s="38">
        <v>5</v>
      </c>
      <c r="G43" s="73">
        <v>694</v>
      </c>
      <c r="H43" s="40">
        <f t="shared" si="10"/>
        <v>2504.8704987000006</v>
      </c>
      <c r="I43" s="41">
        <f t="shared" si="11"/>
        <v>16430.87337715756</v>
      </c>
    </row>
    <row r="44" spans="6:11" ht="19.5" customHeight="1" thickTop="1">
      <c r="F44" s="38">
        <v>6</v>
      </c>
      <c r="G44" s="73">
        <v>740</v>
      </c>
      <c r="H44" s="40">
        <f t="shared" si="10"/>
        <v>2671.0291574599996</v>
      </c>
      <c r="I44" s="41">
        <f t="shared" si="11"/>
        <v>17520.80273039989</v>
      </c>
      <c r="K44" s="67" t="s">
        <v>87</v>
      </c>
    </row>
    <row r="45" spans="3:11" ht="19.5" customHeight="1" thickBot="1">
      <c r="C45" s="9"/>
      <c r="D45" s="9"/>
      <c r="E45" s="9"/>
      <c r="F45" s="44">
        <v>7</v>
      </c>
      <c r="G45" s="74">
        <v>782</v>
      </c>
      <c r="H45" s="46">
        <f t="shared" si="10"/>
        <v>2822.7417253900003</v>
      </c>
      <c r="I45" s="47">
        <f t="shared" si="11"/>
        <v>18515.971939616484</v>
      </c>
      <c r="K45" s="69" t="s">
        <v>76</v>
      </c>
    </row>
    <row r="46" spans="3:4" ht="15.75" thickTop="1">
      <c r="C46" s="64"/>
      <c r="D46" s="64"/>
    </row>
    <row r="47" spans="3:5" ht="15">
      <c r="C47" s="64"/>
      <c r="D47" s="64"/>
      <c r="E47" s="64"/>
    </row>
    <row r="48" spans="3:5" ht="15">
      <c r="C48" s="64"/>
      <c r="D48" s="64"/>
      <c r="E48" s="64"/>
    </row>
    <row r="49" spans="3:5" ht="15">
      <c r="C49" s="9"/>
      <c r="D49" s="9"/>
      <c r="E49" s="9"/>
    </row>
  </sheetData>
  <sheetProtection password="CD3F" sheet="1" objects="1" scenarios="1"/>
  <mergeCells count="28">
    <mergeCell ref="B4:K5"/>
    <mergeCell ref="J14:J15"/>
    <mergeCell ref="F35:I36"/>
    <mergeCell ref="L4:M4"/>
    <mergeCell ref="L5:M5"/>
    <mergeCell ref="D14:E14"/>
    <mergeCell ref="C13:E13"/>
    <mergeCell ref="B14:B15"/>
    <mergeCell ref="C14:C15"/>
    <mergeCell ref="J28:L28"/>
    <mergeCell ref="H37:I37"/>
    <mergeCell ref="B31:B32"/>
    <mergeCell ref="F37:F38"/>
    <mergeCell ref="F28:H28"/>
    <mergeCell ref="C31:C32"/>
    <mergeCell ref="D31:E31"/>
    <mergeCell ref="G37:G38"/>
    <mergeCell ref="D28:E28"/>
    <mergeCell ref="E7:F7"/>
    <mergeCell ref="E8:F8"/>
    <mergeCell ref="E9:F9"/>
    <mergeCell ref="F27:K27"/>
    <mergeCell ref="C12:L12"/>
    <mergeCell ref="J13:M13"/>
    <mergeCell ref="K14:M14"/>
    <mergeCell ref="F13:I13"/>
    <mergeCell ref="G14:I14"/>
    <mergeCell ref="F14:F15"/>
  </mergeCells>
  <conditionalFormatting sqref="B16:M26">
    <cfRule type="expression" priority="1" dxfId="0" stopIfTrue="1">
      <formula>(EVEN(ROW())=ROW())</formula>
    </cfRule>
  </conditionalFormatting>
  <conditionalFormatting sqref="B33:E43 F39:I45">
    <cfRule type="expression" priority="2" dxfId="0" stopIfTrue="1">
      <formula>(ODD(ROW())=ROW())</formula>
    </cfRule>
  </conditionalFormatting>
  <hyperlinks>
    <hyperlink ref="B2:J2" location="Intro!B8" display="Pour revenir à la page d'accueil, cliquez ici ou sur l'onglet Intro en bas de page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showGridLines="0" showRowColHeaders="0" zoomScale="80" zoomScaleNormal="80" zoomScaleSheetLayoutView="100" workbookViewId="0" topLeftCell="A1">
      <selection activeCell="J28" sqref="J28:L28"/>
    </sheetView>
  </sheetViews>
  <sheetFormatPr defaultColWidth="11.00390625" defaultRowHeight="12"/>
  <cols>
    <col min="1" max="1" width="3.00390625" style="1" customWidth="1"/>
    <col min="2" max="2" width="9.25390625" style="1" customWidth="1"/>
    <col min="3" max="3" width="10.875" style="1" customWidth="1"/>
    <col min="4" max="4" width="9.75390625" style="1" customWidth="1"/>
    <col min="5" max="5" width="11.375" style="1" customWidth="1"/>
    <col min="6" max="7" width="9.25390625" style="1" customWidth="1"/>
    <col min="8" max="8" width="10.125" style="1" customWidth="1"/>
    <col min="9" max="9" width="11.375" style="1" customWidth="1"/>
    <col min="10" max="10" width="9.25390625" style="1" customWidth="1"/>
    <col min="11" max="11" width="9.75390625" style="1" customWidth="1"/>
    <col min="12" max="12" width="10.125" style="1" customWidth="1"/>
    <col min="13" max="14" width="12.625" style="1" customWidth="1"/>
    <col min="15" max="15" width="12.75390625" style="1" customWidth="1"/>
    <col min="16" max="16384" width="12.625" style="1" customWidth="1"/>
  </cols>
  <sheetData>
    <row r="2" spans="2:10" ht="18" customHeight="1">
      <c r="B2" s="2" t="s">
        <v>52</v>
      </c>
      <c r="C2" s="3"/>
      <c r="D2" s="4"/>
      <c r="E2" s="3"/>
      <c r="F2" s="3"/>
      <c r="G2" s="3"/>
      <c r="H2" s="3"/>
      <c r="I2" s="3"/>
      <c r="J2" s="3"/>
    </row>
    <row r="3" ht="10.5" customHeight="1" thickBot="1">
      <c r="B3" s="5"/>
    </row>
    <row r="4" spans="2:13" s="6" customFormat="1" ht="36" customHeight="1" thickTop="1">
      <c r="B4" s="359" t="s">
        <v>89</v>
      </c>
      <c r="C4" s="360"/>
      <c r="D4" s="360"/>
      <c r="E4" s="360"/>
      <c r="F4" s="360"/>
      <c r="G4" s="360"/>
      <c r="H4" s="360"/>
      <c r="I4" s="360"/>
      <c r="J4" s="360"/>
      <c r="K4" s="361"/>
      <c r="L4" s="373" t="s">
        <v>53</v>
      </c>
      <c r="M4" s="374"/>
    </row>
    <row r="5" spans="2:13" s="6" customFormat="1" ht="36" customHeight="1" thickBot="1">
      <c r="B5" s="362"/>
      <c r="C5" s="363"/>
      <c r="D5" s="363"/>
      <c r="E5" s="363"/>
      <c r="F5" s="363"/>
      <c r="G5" s="363"/>
      <c r="H5" s="363"/>
      <c r="I5" s="363"/>
      <c r="J5" s="363"/>
      <c r="K5" s="364"/>
      <c r="L5" s="375">
        <f>'données à mettre à jour'!H2</f>
        <v>36922</v>
      </c>
      <c r="M5" s="376"/>
    </row>
    <row r="6" spans="2:8" s="7" customFormat="1" ht="9.75" customHeight="1" thickTop="1">
      <c r="B6" s="8"/>
      <c r="C6" s="8"/>
      <c r="D6" s="8"/>
      <c r="E6" s="8"/>
      <c r="F6" s="8"/>
      <c r="G6" s="8"/>
      <c r="H6" s="8"/>
    </row>
    <row r="7" spans="2:8" s="9" customFormat="1" ht="18" customHeight="1">
      <c r="B7" s="10"/>
      <c r="D7" s="11" t="s">
        <v>54</v>
      </c>
      <c r="E7" s="391">
        <f>'données à mettre à jour'!F2</f>
        <v>53.0196</v>
      </c>
      <c r="F7" s="392"/>
      <c r="G7" s="12">
        <f>E7*6.55957</f>
        <v>347.785777572</v>
      </c>
      <c r="H7" s="12"/>
    </row>
    <row r="8" spans="2:8" s="13" customFormat="1" ht="18" customHeight="1">
      <c r="B8" s="14"/>
      <c r="D8" s="15" t="s">
        <v>55</v>
      </c>
      <c r="E8" s="393">
        <f>ROUNDDOWN(E7/12,2)</f>
        <v>4.41</v>
      </c>
      <c r="F8" s="393"/>
      <c r="G8" s="17">
        <f>E8*6.55957</f>
        <v>28.927703700000002</v>
      </c>
      <c r="H8" s="18"/>
    </row>
    <row r="9" spans="2:8" s="13" customFormat="1" ht="18" customHeight="1">
      <c r="B9" s="14"/>
      <c r="D9" s="15" t="s">
        <v>56</v>
      </c>
      <c r="E9" s="393">
        <f>ROUNDDOWN($E$7/12,2)-ROUNDDOWN($E$7/12,2)*0.0785-ROUNDDOWN($E$7/12,2)*0.95*0.075-ROUNDDOWN($E$7/12,2)*0.95*0.005-ROUNDDOWN($E$7/12,2)*0.026-(ROUNDDOWN($E$7/12,2)-ROUNDDOWN($E$7/12,2)*0.0785)*0.01</f>
        <v>3.5733568499999997</v>
      </c>
      <c r="F9" s="393"/>
      <c r="G9" s="17">
        <f>E9*6.55957</f>
        <v>23.439684392554497</v>
      </c>
      <c r="H9" s="19" t="s">
        <v>57</v>
      </c>
    </row>
    <row r="10" spans="2:8" s="13" customFormat="1" ht="18" customHeight="1">
      <c r="B10" s="14"/>
      <c r="D10" s="20"/>
      <c r="E10" s="16"/>
      <c r="F10" s="16"/>
      <c r="G10" s="17"/>
      <c r="H10" s="19"/>
    </row>
    <row r="11" spans="2:13" s="13" customFormat="1" ht="22.5" customHeight="1" thickBot="1">
      <c r="B11" s="21"/>
      <c r="M11" s="22" t="s">
        <v>59</v>
      </c>
    </row>
    <row r="12" spans="2:13" s="23" customFormat="1" ht="19.5" customHeight="1" thickBot="1" thickTop="1">
      <c r="B12" s="24"/>
      <c r="C12" s="396" t="s">
        <v>60</v>
      </c>
      <c r="D12" s="397"/>
      <c r="E12" s="397"/>
      <c r="F12" s="397"/>
      <c r="G12" s="397"/>
      <c r="H12" s="397"/>
      <c r="I12" s="397"/>
      <c r="J12" s="397"/>
      <c r="K12" s="397"/>
      <c r="L12" s="398"/>
      <c r="M12" s="25"/>
    </row>
    <row r="13" spans="2:13" s="23" customFormat="1" ht="19.5" customHeight="1" thickBot="1" thickTop="1">
      <c r="B13" s="24"/>
      <c r="C13" s="379" t="s">
        <v>61</v>
      </c>
      <c r="D13" s="380"/>
      <c r="E13" s="381"/>
      <c r="F13" s="379" t="s">
        <v>62</v>
      </c>
      <c r="G13" s="380"/>
      <c r="H13" s="380"/>
      <c r="I13" s="381"/>
      <c r="J13" s="379" t="s">
        <v>63</v>
      </c>
      <c r="K13" s="380"/>
      <c r="L13" s="380"/>
      <c r="M13" s="381"/>
    </row>
    <row r="14" spans="2:13" s="26" customFormat="1" ht="19.5" customHeight="1" thickTop="1">
      <c r="B14" s="382" t="s">
        <v>10</v>
      </c>
      <c r="C14" s="384" t="s">
        <v>64</v>
      </c>
      <c r="D14" s="377" t="s">
        <v>65</v>
      </c>
      <c r="E14" s="378"/>
      <c r="F14" s="384" t="s">
        <v>64</v>
      </c>
      <c r="G14" s="402" t="s">
        <v>65</v>
      </c>
      <c r="H14" s="403"/>
      <c r="I14" s="401"/>
      <c r="J14" s="365" t="s">
        <v>64</v>
      </c>
      <c r="K14" s="399" t="s">
        <v>65</v>
      </c>
      <c r="L14" s="400"/>
      <c r="M14" s="401"/>
    </row>
    <row r="15" spans="2:13" s="26" customFormat="1" ht="42" thickBot="1">
      <c r="B15" s="383"/>
      <c r="C15" s="385"/>
      <c r="D15" s="27" t="s">
        <v>66</v>
      </c>
      <c r="E15" s="28" t="s">
        <v>67</v>
      </c>
      <c r="F15" s="404"/>
      <c r="G15" s="29" t="s">
        <v>68</v>
      </c>
      <c r="H15" s="29" t="s">
        <v>80</v>
      </c>
      <c r="I15" s="30" t="s">
        <v>69</v>
      </c>
      <c r="J15" s="366"/>
      <c r="K15" s="29" t="s">
        <v>68</v>
      </c>
      <c r="L15" s="29" t="s">
        <v>80</v>
      </c>
      <c r="M15" s="30" t="s">
        <v>69</v>
      </c>
    </row>
    <row r="16" spans="2:13" ht="19.5" customHeight="1" thickTop="1">
      <c r="B16" s="31">
        <v>1</v>
      </c>
      <c r="C16" s="32">
        <v>340</v>
      </c>
      <c r="D16" s="33">
        <f aca="true" t="shared" si="0" ref="D16:D26">ROUNDDOWN($E$7*C16/12,2)-ROUNDDOWN($E$7*C16/12,2)*0.0785-ROUNDDOWN($E$7*C16/12,2)*0.97*0.075-ROUNDDOWN($E$7*C16/12,2)*0.97*0.005-ROUNDDOWN($E$7*C16/12,2)*0.026-(ROUNDDOWN($E$7*C16/12,2)-ROUNDDOWN($E$7*C16/12,2)*0.0785)*0.01</f>
        <v>1214.8227806999998</v>
      </c>
      <c r="E16" s="34">
        <f aca="true" t="shared" si="1" ref="E16:E26">D16*6.55957</f>
        <v>7968.715067596298</v>
      </c>
      <c r="F16" s="35">
        <v>340</v>
      </c>
      <c r="G16" s="33">
        <f aca="true" t="shared" si="2" ref="G16:G26">ROUNDDOWN($E$7*F16/12,2)-ROUNDDOWN($E$7*F16/12,2)*0.0785-(ROUNDDOWN($E$7*F16/12,2)+ROUNDDOWN($F$28,2))*0.97*0.075-(ROUNDDOWN($E$7*F16/12,2)+ROUNDDOWN($F$28,2))*0.97*0.005-ROUNDDOWN($E$7*F16/12,2)*0.026-(ROUNDDOWN($E$7*F16/12,2)-ROUNDDOWN($E$7*F16/12,2)*0.0785-ROUND($F$28*0.05,0))*0.01-ROUND($F$28*0.05,0)</f>
        <v>1194.3579647000001</v>
      </c>
      <c r="H16" s="36">
        <f aca="true" t="shared" si="3" ref="H16:H26">G16+$F$28</f>
        <v>1356.0179647000002</v>
      </c>
      <c r="I16" s="37">
        <f aca="true" t="shared" si="4" ref="I16:I26">H16*6.55957</f>
        <v>8894.89476070718</v>
      </c>
      <c r="J16" s="35">
        <v>340</v>
      </c>
      <c r="K16" s="33">
        <f aca="true" t="shared" si="5" ref="K16:K26">ROUNDDOWN($E$7*J16/12,2)-ROUNDDOWN($E$7*J16/12,2)*0.0785-(ROUNDDOWN($E$7*J16/12,2)+ROUNDDOWN($J$28,2))*0.97*0.075-(ROUNDDOWN($E$7*J16/12,2)+ROUNDDOWN($J$28,2))*0.97*0.005-ROUNDDOWN($E$7*J16/12,2)*0.026-(ROUNDDOWN($E$7*J16/12,2)-ROUNDDOWN($E$7*J16/12,2)*0.0785-ROUND($J$28*0.05,0))*0.01-ROUND($J$28*0.05,0)</f>
        <v>1189.2413727</v>
      </c>
      <c r="L16" s="36">
        <f aca="true" t="shared" si="6" ref="L16:L26">K16+$J$28</f>
        <v>1391.3213727</v>
      </c>
      <c r="M16" s="34">
        <f aca="true" t="shared" si="7" ref="M16:M26">L16*6.55957</f>
        <v>9126.469936721738</v>
      </c>
    </row>
    <row r="17" spans="2:13" ht="19.5" customHeight="1">
      <c r="B17" s="38">
        <v>2</v>
      </c>
      <c r="C17" s="39">
        <v>356</v>
      </c>
      <c r="D17" s="40">
        <f t="shared" si="0"/>
        <v>1271.98872335</v>
      </c>
      <c r="E17" s="41">
        <f t="shared" si="1"/>
        <v>8343.69907002496</v>
      </c>
      <c r="F17" s="39">
        <v>356</v>
      </c>
      <c r="G17" s="40">
        <f t="shared" si="2"/>
        <v>1251.5239073500002</v>
      </c>
      <c r="H17" s="42">
        <f t="shared" si="3"/>
        <v>1413.1839073500003</v>
      </c>
      <c r="I17" s="43">
        <f t="shared" si="4"/>
        <v>9269.878763135841</v>
      </c>
      <c r="J17" s="39">
        <v>356</v>
      </c>
      <c r="K17" s="40">
        <f t="shared" si="5"/>
        <v>1246.4073153499999</v>
      </c>
      <c r="L17" s="42">
        <f t="shared" si="6"/>
        <v>1448.4873153499998</v>
      </c>
      <c r="M17" s="41">
        <f t="shared" si="7"/>
        <v>9501.453939150399</v>
      </c>
    </row>
    <row r="18" spans="2:13" ht="19.5" customHeight="1">
      <c r="B18" s="38">
        <v>3</v>
      </c>
      <c r="C18" s="39">
        <v>365</v>
      </c>
      <c r="D18" s="40">
        <f t="shared" si="0"/>
        <v>1304.1420389500001</v>
      </c>
      <c r="E18" s="41">
        <f t="shared" si="1"/>
        <v>8554.610994435252</v>
      </c>
      <c r="F18" s="39">
        <v>365</v>
      </c>
      <c r="G18" s="40">
        <f t="shared" si="2"/>
        <v>1283.67722295</v>
      </c>
      <c r="H18" s="42">
        <f t="shared" si="3"/>
        <v>1445.33722295</v>
      </c>
      <c r="I18" s="43">
        <f t="shared" si="4"/>
        <v>9480.790687546132</v>
      </c>
      <c r="J18" s="39">
        <v>365</v>
      </c>
      <c r="K18" s="40">
        <f t="shared" si="5"/>
        <v>1278.5606309500001</v>
      </c>
      <c r="L18" s="42">
        <f t="shared" si="6"/>
        <v>1480.64063095</v>
      </c>
      <c r="M18" s="41">
        <f t="shared" si="7"/>
        <v>9712.365863560692</v>
      </c>
    </row>
    <row r="19" spans="2:13" ht="19.5" customHeight="1">
      <c r="B19" s="38">
        <v>4</v>
      </c>
      <c r="C19" s="39">
        <v>372</v>
      </c>
      <c r="D19" s="40">
        <f t="shared" si="0"/>
        <v>1329.154666</v>
      </c>
      <c r="E19" s="41">
        <f t="shared" si="1"/>
        <v>8718.68307245362</v>
      </c>
      <c r="F19" s="39">
        <v>372</v>
      </c>
      <c r="G19" s="40">
        <f t="shared" si="2"/>
        <v>1308.68985</v>
      </c>
      <c r="H19" s="42">
        <f t="shared" si="3"/>
        <v>1470.34985</v>
      </c>
      <c r="I19" s="43">
        <f t="shared" si="4"/>
        <v>9644.8627655645</v>
      </c>
      <c r="J19" s="39">
        <v>372</v>
      </c>
      <c r="K19" s="40">
        <f t="shared" si="5"/>
        <v>1303.573258</v>
      </c>
      <c r="L19" s="42">
        <f t="shared" si="6"/>
        <v>1505.6532579999998</v>
      </c>
      <c r="M19" s="41">
        <f t="shared" si="7"/>
        <v>9876.437941579059</v>
      </c>
    </row>
    <row r="20" spans="2:13" ht="19.5" customHeight="1">
      <c r="B20" s="38">
        <v>5</v>
      </c>
      <c r="C20" s="39">
        <v>382</v>
      </c>
      <c r="D20" s="40">
        <f t="shared" si="0"/>
        <v>1364.8904561499999</v>
      </c>
      <c r="E20" s="41">
        <f t="shared" si="1"/>
        <v>8953.094489447854</v>
      </c>
      <c r="F20" s="39">
        <v>382</v>
      </c>
      <c r="G20" s="40">
        <f t="shared" si="2"/>
        <v>1344.42564015</v>
      </c>
      <c r="H20" s="42">
        <f t="shared" si="3"/>
        <v>1506.08564015</v>
      </c>
      <c r="I20" s="43">
        <f t="shared" si="4"/>
        <v>9879.274182558736</v>
      </c>
      <c r="J20" s="39">
        <v>382</v>
      </c>
      <c r="K20" s="40">
        <f t="shared" si="5"/>
        <v>1339.30904815</v>
      </c>
      <c r="L20" s="42">
        <f t="shared" si="6"/>
        <v>1541.38904815</v>
      </c>
      <c r="M20" s="41">
        <f t="shared" si="7"/>
        <v>10110.849358573296</v>
      </c>
    </row>
    <row r="21" spans="2:13" ht="19.5" customHeight="1">
      <c r="B21" s="38">
        <v>6</v>
      </c>
      <c r="C21" s="39">
        <v>389</v>
      </c>
      <c r="D21" s="40">
        <f t="shared" si="0"/>
        <v>1389.8949963500002</v>
      </c>
      <c r="E21" s="41">
        <f t="shared" si="1"/>
        <v>9117.11352120757</v>
      </c>
      <c r="F21" s="39">
        <v>389</v>
      </c>
      <c r="G21" s="40">
        <f t="shared" si="2"/>
        <v>1369.4301803500002</v>
      </c>
      <c r="H21" s="42">
        <f t="shared" si="3"/>
        <v>1531.0901803500003</v>
      </c>
      <c r="I21" s="43">
        <f t="shared" si="4"/>
        <v>10043.293214318452</v>
      </c>
      <c r="J21" s="39">
        <v>389</v>
      </c>
      <c r="K21" s="40">
        <f t="shared" si="5"/>
        <v>1364.3135883500001</v>
      </c>
      <c r="L21" s="42">
        <f t="shared" si="6"/>
        <v>1566.39358835</v>
      </c>
      <c r="M21" s="41">
        <f t="shared" si="7"/>
        <v>10274.86839033301</v>
      </c>
    </row>
    <row r="22" spans="2:13" ht="19.5" customHeight="1">
      <c r="B22" s="38">
        <v>7</v>
      </c>
      <c r="C22" s="39">
        <v>398</v>
      </c>
      <c r="D22" s="40">
        <f t="shared" si="0"/>
        <v>1422.0563988000001</v>
      </c>
      <c r="E22" s="41">
        <f t="shared" si="1"/>
        <v>9328.078491876517</v>
      </c>
      <c r="F22" s="39">
        <v>398</v>
      </c>
      <c r="G22" s="40">
        <f t="shared" si="2"/>
        <v>1401.5915828000002</v>
      </c>
      <c r="H22" s="42">
        <f t="shared" si="3"/>
        <v>1563.2515828000003</v>
      </c>
      <c r="I22" s="43">
        <f t="shared" si="4"/>
        <v>10254.258184987397</v>
      </c>
      <c r="J22" s="39">
        <v>398</v>
      </c>
      <c r="K22" s="40">
        <f t="shared" si="5"/>
        <v>1396.4749908</v>
      </c>
      <c r="L22" s="42">
        <f t="shared" si="6"/>
        <v>1598.5549907999998</v>
      </c>
      <c r="M22" s="41">
        <f t="shared" si="7"/>
        <v>10485.833361001954</v>
      </c>
    </row>
    <row r="23" spans="2:13" ht="19.5" customHeight="1">
      <c r="B23" s="38">
        <v>8</v>
      </c>
      <c r="C23" s="39">
        <v>419</v>
      </c>
      <c r="D23" s="40">
        <f t="shared" si="0"/>
        <v>1497.0861931</v>
      </c>
      <c r="E23" s="41">
        <f t="shared" si="1"/>
        <v>9820.241679672967</v>
      </c>
      <c r="F23" s="39">
        <v>419</v>
      </c>
      <c r="G23" s="40">
        <f t="shared" si="2"/>
        <v>1476.6213770999998</v>
      </c>
      <c r="H23" s="42">
        <f t="shared" si="3"/>
        <v>1638.2813770999999</v>
      </c>
      <c r="I23" s="43">
        <f t="shared" si="4"/>
        <v>10746.421372783847</v>
      </c>
      <c r="J23" s="39">
        <v>419</v>
      </c>
      <c r="K23" s="40">
        <f t="shared" si="5"/>
        <v>1471.5047851</v>
      </c>
      <c r="L23" s="42">
        <f t="shared" si="6"/>
        <v>1673.5847850999999</v>
      </c>
      <c r="M23" s="41">
        <f t="shared" si="7"/>
        <v>10977.996548798406</v>
      </c>
    </row>
    <row r="24" spans="2:13" ht="19.5" customHeight="1">
      <c r="B24" s="38">
        <v>9</v>
      </c>
      <c r="C24" s="39">
        <v>440</v>
      </c>
      <c r="D24" s="40">
        <f t="shared" si="0"/>
        <v>1572.12407425</v>
      </c>
      <c r="E24" s="41">
        <f t="shared" si="1"/>
        <v>10312.457913728073</v>
      </c>
      <c r="F24" s="39">
        <v>440</v>
      </c>
      <c r="G24" s="40">
        <f t="shared" si="2"/>
        <v>1551.65925825</v>
      </c>
      <c r="H24" s="42">
        <f t="shared" si="3"/>
        <v>1713.31925825</v>
      </c>
      <c r="I24" s="43">
        <f t="shared" si="4"/>
        <v>11238.637606838953</v>
      </c>
      <c r="J24" s="39">
        <v>440</v>
      </c>
      <c r="K24" s="40">
        <f t="shared" si="5"/>
        <v>1546.54266625</v>
      </c>
      <c r="L24" s="42">
        <f t="shared" si="6"/>
        <v>1748.6226662499998</v>
      </c>
      <c r="M24" s="41">
        <f t="shared" si="7"/>
        <v>11470.21278285351</v>
      </c>
    </row>
    <row r="25" spans="2:13" ht="19.5" customHeight="1">
      <c r="B25" s="38">
        <v>10</v>
      </c>
      <c r="C25" s="39">
        <v>468</v>
      </c>
      <c r="D25" s="40">
        <f t="shared" si="0"/>
        <v>1672.1664956</v>
      </c>
      <c r="E25" s="41">
        <f t="shared" si="1"/>
        <v>10968.693179542892</v>
      </c>
      <c r="F25" s="39">
        <v>468</v>
      </c>
      <c r="G25" s="40">
        <f t="shared" si="2"/>
        <v>1651.7016796</v>
      </c>
      <c r="H25" s="42">
        <f t="shared" si="3"/>
        <v>1813.3616796000001</v>
      </c>
      <c r="I25" s="43">
        <f t="shared" si="4"/>
        <v>11894.872872653772</v>
      </c>
      <c r="J25" s="39">
        <v>468</v>
      </c>
      <c r="K25" s="40">
        <f t="shared" si="5"/>
        <v>1646.5850876000002</v>
      </c>
      <c r="L25" s="42">
        <f t="shared" si="6"/>
        <v>1848.6650876</v>
      </c>
      <c r="M25" s="41">
        <f t="shared" si="7"/>
        <v>12126.448048668333</v>
      </c>
    </row>
    <row r="26" spans="2:13" ht="19.5" customHeight="1" thickBot="1">
      <c r="B26" s="44">
        <v>11</v>
      </c>
      <c r="C26" s="45">
        <v>514</v>
      </c>
      <c r="D26" s="46">
        <f t="shared" si="0"/>
        <v>1836.5236349999998</v>
      </c>
      <c r="E26" s="47">
        <f t="shared" si="1"/>
        <v>12046.805340436948</v>
      </c>
      <c r="F26" s="45">
        <v>514</v>
      </c>
      <c r="G26" s="46">
        <f t="shared" si="2"/>
        <v>1816.0588189999996</v>
      </c>
      <c r="H26" s="48">
        <f t="shared" si="3"/>
        <v>1977.7188189999997</v>
      </c>
      <c r="I26" s="49">
        <f t="shared" si="4"/>
        <v>12972.985033547828</v>
      </c>
      <c r="J26" s="45">
        <v>514</v>
      </c>
      <c r="K26" s="46">
        <f t="shared" si="5"/>
        <v>1810.9422269999998</v>
      </c>
      <c r="L26" s="48">
        <f t="shared" si="6"/>
        <v>2013.0222269999997</v>
      </c>
      <c r="M26" s="47">
        <f t="shared" si="7"/>
        <v>13204.560209562387</v>
      </c>
    </row>
    <row r="27" spans="3:11" ht="19.5" customHeight="1" thickBot="1" thickTop="1">
      <c r="C27" s="50"/>
      <c r="D27" s="50"/>
      <c r="E27" s="50"/>
      <c r="F27" s="394" t="s">
        <v>70</v>
      </c>
      <c r="G27" s="395"/>
      <c r="H27" s="395"/>
      <c r="I27" s="395"/>
      <c r="J27" s="395"/>
      <c r="K27" s="395"/>
    </row>
    <row r="28" spans="3:13" s="51" customFormat="1" ht="16.5" thickBot="1" thickTop="1">
      <c r="C28" s="52" t="s">
        <v>71</v>
      </c>
      <c r="D28" s="389">
        <f>'données à mettre à jour'!H4</f>
        <v>36525</v>
      </c>
      <c r="E28" s="390"/>
      <c r="F28" s="386">
        <f>'données à mettre à jour'!C4</f>
        <v>161.66</v>
      </c>
      <c r="G28" s="387"/>
      <c r="H28" s="387"/>
      <c r="I28" s="53">
        <f>F28*6.55957</f>
        <v>1060.4200862</v>
      </c>
      <c r="J28" s="386">
        <f>'données à mettre à jour'!F4</f>
        <v>202.08</v>
      </c>
      <c r="K28" s="387"/>
      <c r="L28" s="388"/>
      <c r="M28" s="53">
        <f>J28*6.55957</f>
        <v>1325.5579056000001</v>
      </c>
    </row>
    <row r="29" spans="3:11" s="51" customFormat="1" ht="39.75" customHeight="1" thickBot="1" thickTop="1">
      <c r="C29" s="54"/>
      <c r="D29" s="54"/>
      <c r="E29" s="54"/>
      <c r="F29" s="55"/>
      <c r="G29" s="55"/>
      <c r="H29" s="56"/>
      <c r="I29" s="57"/>
      <c r="J29" s="57"/>
      <c r="K29" s="57"/>
    </row>
    <row r="30" spans="3:13" ht="19.5" customHeight="1" thickBot="1" thickTop="1">
      <c r="C30" s="58" t="s">
        <v>72</v>
      </c>
      <c r="D30" s="59"/>
      <c r="E30" s="60"/>
      <c r="I30" s="51"/>
      <c r="L30" s="61"/>
      <c r="M30" s="61"/>
    </row>
    <row r="31" spans="2:14" s="9" customFormat="1" ht="19.5" customHeight="1" thickTop="1">
      <c r="B31" s="382" t="s">
        <v>10</v>
      </c>
      <c r="C31" s="384" t="s">
        <v>64</v>
      </c>
      <c r="D31" s="377" t="s">
        <v>65</v>
      </c>
      <c r="E31" s="378"/>
      <c r="I31" s="62"/>
      <c r="L31" s="63"/>
      <c r="M31" s="63"/>
      <c r="N31" s="63"/>
    </row>
    <row r="32" spans="2:5" s="64" customFormat="1" ht="19.5" customHeight="1" thickBot="1">
      <c r="B32" s="383"/>
      <c r="C32" s="385"/>
      <c r="D32" s="27" t="s">
        <v>66</v>
      </c>
      <c r="E32" s="28" t="s">
        <v>67</v>
      </c>
    </row>
    <row r="33" spans="2:14" s="64" customFormat="1" ht="19.5" customHeight="1" thickTop="1">
      <c r="B33" s="31">
        <v>1</v>
      </c>
      <c r="C33" s="32">
        <v>348</v>
      </c>
      <c r="D33" s="33">
        <f aca="true" t="shared" si="8" ref="D33:D43">ROUNDDOWN($E$7*C33/12,2)-ROUNDDOWN($E$7*C33/12,2)*0.0785-ROUNDDOWN($E$7*C33/12,2)*0.97*0.075-ROUNDDOWN($E$7*C33/12,2)*0.97*0.005-ROUNDDOWN($E$7*C33/12,2)*0.026-(ROUNDDOWN($E$7*C33/12,2)-ROUNDDOWN($E$7*C33/12,2)*0.0785)*0.01</f>
        <v>1243.4017086</v>
      </c>
      <c r="E33" s="34">
        <f aca="true" t="shared" si="9" ref="E33:E43">D33*6.55957</f>
        <v>8156.180545681301</v>
      </c>
      <c r="L33" s="65"/>
      <c r="M33" s="65"/>
      <c r="N33" s="65"/>
    </row>
    <row r="34" spans="2:14" s="64" customFormat="1" ht="19.5" customHeight="1" thickBot="1">
      <c r="B34" s="38">
        <v>2</v>
      </c>
      <c r="C34" s="39">
        <v>375</v>
      </c>
      <c r="D34" s="40">
        <f t="shared" si="8"/>
        <v>1339.8778290999999</v>
      </c>
      <c r="E34" s="41">
        <f t="shared" si="9"/>
        <v>8789.022411429485</v>
      </c>
      <c r="K34" s="75" t="s">
        <v>73</v>
      </c>
      <c r="L34" s="65"/>
      <c r="M34" s="65"/>
      <c r="N34" s="65"/>
    </row>
    <row r="35" spans="2:14" s="9" customFormat="1" ht="19.5" customHeight="1" thickTop="1">
      <c r="B35" s="38">
        <v>3</v>
      </c>
      <c r="C35" s="39">
        <v>394</v>
      </c>
      <c r="D35" s="40">
        <f t="shared" si="8"/>
        <v>1407.7669348499999</v>
      </c>
      <c r="E35" s="41">
        <f t="shared" si="9"/>
        <v>9234.345752834013</v>
      </c>
      <c r="F35" s="367" t="s">
        <v>81</v>
      </c>
      <c r="G35" s="368"/>
      <c r="H35" s="368"/>
      <c r="I35" s="369"/>
      <c r="K35" s="76" t="s">
        <v>82</v>
      </c>
      <c r="L35" s="1"/>
      <c r="M35" s="1"/>
      <c r="N35" s="1"/>
    </row>
    <row r="36" spans="2:14" ht="19.5" customHeight="1" thickBot="1">
      <c r="B36" s="38">
        <v>4</v>
      </c>
      <c r="C36" s="39">
        <v>415</v>
      </c>
      <c r="D36" s="40">
        <f t="shared" si="8"/>
        <v>1482.7967291499997</v>
      </c>
      <c r="E36" s="41">
        <f t="shared" si="9"/>
        <v>9726.508940630463</v>
      </c>
      <c r="F36" s="370"/>
      <c r="G36" s="371"/>
      <c r="H36" s="371"/>
      <c r="I36" s="372"/>
      <c r="K36" s="64"/>
      <c r="L36" s="68"/>
      <c r="M36" s="68"/>
      <c r="N36" s="68"/>
    </row>
    <row r="37" spans="2:14" ht="19.5" customHeight="1" thickTop="1">
      <c r="B37" s="38">
        <v>5</v>
      </c>
      <c r="C37" s="39">
        <v>438</v>
      </c>
      <c r="D37" s="40">
        <f t="shared" si="8"/>
        <v>1564.9752988500002</v>
      </c>
      <c r="E37" s="41">
        <f t="shared" si="9"/>
        <v>10265.565021077495</v>
      </c>
      <c r="F37" s="382" t="s">
        <v>10</v>
      </c>
      <c r="G37" s="365" t="s">
        <v>64</v>
      </c>
      <c r="H37" s="377" t="s">
        <v>65</v>
      </c>
      <c r="I37" s="378"/>
      <c r="K37" s="76" t="s">
        <v>84</v>
      </c>
      <c r="L37" s="68"/>
      <c r="M37" s="68"/>
      <c r="N37" s="68"/>
    </row>
    <row r="38" spans="2:11" ht="19.5" customHeight="1" thickBot="1">
      <c r="B38" s="38">
        <v>6</v>
      </c>
      <c r="C38" s="39">
        <v>466</v>
      </c>
      <c r="D38" s="40">
        <f t="shared" si="8"/>
        <v>1665.0177202000002</v>
      </c>
      <c r="E38" s="41">
        <f t="shared" si="9"/>
        <v>10921.800286892316</v>
      </c>
      <c r="F38" s="383"/>
      <c r="G38" s="366"/>
      <c r="H38" s="27" t="s">
        <v>66</v>
      </c>
      <c r="I38" s="28" t="s">
        <v>67</v>
      </c>
      <c r="K38" s="77" t="s">
        <v>74</v>
      </c>
    </row>
    <row r="39" spans="2:14" ht="19.5" customHeight="1" thickTop="1">
      <c r="B39" s="38">
        <v>7</v>
      </c>
      <c r="C39" s="39">
        <v>494</v>
      </c>
      <c r="D39" s="40">
        <f t="shared" si="8"/>
        <v>1765.0682284</v>
      </c>
      <c r="E39" s="41">
        <f t="shared" si="9"/>
        <v>11578.088598965787</v>
      </c>
      <c r="F39" s="70">
        <v>1</v>
      </c>
      <c r="G39" s="71">
        <v>494</v>
      </c>
      <c r="H39" s="33">
        <f aca="true" t="shared" si="10" ref="H39:H45">ROUNDDOWN($E$7*G39/12,2)-ROUNDDOWN($E$7*G39/12,2)*0.0785-ROUNDDOWN($E$7*G39/12,2)*0.97*0.075-ROUNDDOWN($E$7*G39/12,2)*0.97*0.005-ROUNDDOWN($E$7*G39/12,2)*0.026-(ROUNDDOWN($E$7*G39/12,2)-ROUNDDOWN($E$7*G39/12,2)*0.0785)*0.01</f>
        <v>1765.0682284</v>
      </c>
      <c r="I39" s="34">
        <f aca="true" t="shared" si="11" ref="I39:I45">H39*6.55957</f>
        <v>11578.088598965787</v>
      </c>
      <c r="K39" s="76" t="s">
        <v>85</v>
      </c>
      <c r="L39" s="72"/>
      <c r="M39" s="72"/>
      <c r="N39" s="72"/>
    </row>
    <row r="40" spans="2:9" ht="19.5" customHeight="1">
      <c r="B40" s="38">
        <v>8</v>
      </c>
      <c r="C40" s="39">
        <v>530</v>
      </c>
      <c r="D40" s="40">
        <f t="shared" si="8"/>
        <v>1893.68957765</v>
      </c>
      <c r="E40" s="41">
        <f t="shared" si="9"/>
        <v>12421.78934286561</v>
      </c>
      <c r="F40" s="38">
        <v>2</v>
      </c>
      <c r="G40" s="73">
        <v>559</v>
      </c>
      <c r="H40" s="40">
        <f t="shared" si="10"/>
        <v>1997.3063867000003</v>
      </c>
      <c r="I40" s="41">
        <f t="shared" si="11"/>
        <v>13101.47105500572</v>
      </c>
    </row>
    <row r="41" spans="2:11" ht="19.5" customHeight="1">
      <c r="B41" s="38">
        <v>9</v>
      </c>
      <c r="C41" s="39">
        <v>566</v>
      </c>
      <c r="D41" s="40">
        <f t="shared" si="8"/>
        <v>2022.31901375</v>
      </c>
      <c r="E41" s="41">
        <f t="shared" si="9"/>
        <v>13265.543133024088</v>
      </c>
      <c r="F41" s="38">
        <v>3</v>
      </c>
      <c r="G41" s="73">
        <v>600</v>
      </c>
      <c r="H41" s="40">
        <f t="shared" si="10"/>
        <v>2143.8077613</v>
      </c>
      <c r="I41" s="41">
        <f t="shared" si="11"/>
        <v>14062.45707679064</v>
      </c>
      <c r="K41" s="76" t="s">
        <v>86</v>
      </c>
    </row>
    <row r="42" spans="2:11" ht="19.5" customHeight="1">
      <c r="B42" s="38">
        <v>10</v>
      </c>
      <c r="C42" s="39">
        <v>611</v>
      </c>
      <c r="D42" s="40">
        <f t="shared" si="8"/>
        <v>2183.1098522999996</v>
      </c>
      <c r="E42" s="41">
        <f t="shared" si="9"/>
        <v>14320.261893851508</v>
      </c>
      <c r="F42" s="38">
        <v>4</v>
      </c>
      <c r="G42" s="73">
        <v>641</v>
      </c>
      <c r="H42" s="40">
        <f t="shared" si="10"/>
        <v>2290.30104905</v>
      </c>
      <c r="I42" s="41">
        <f t="shared" si="11"/>
        <v>15023.390052316909</v>
      </c>
      <c r="K42" s="77" t="s">
        <v>78</v>
      </c>
    </row>
    <row r="43" spans="2:9" ht="19.5" customHeight="1" thickBot="1">
      <c r="B43" s="44">
        <v>11</v>
      </c>
      <c r="C43" s="45">
        <v>657</v>
      </c>
      <c r="D43" s="46">
        <f t="shared" si="8"/>
        <v>2347.4669917</v>
      </c>
      <c r="E43" s="47">
        <f t="shared" si="9"/>
        <v>15398.374054745569</v>
      </c>
      <c r="F43" s="38">
        <v>5</v>
      </c>
      <c r="G43" s="73">
        <v>694</v>
      </c>
      <c r="H43" s="40">
        <f t="shared" si="10"/>
        <v>2479.6708155</v>
      </c>
      <c r="I43" s="41">
        <f t="shared" si="11"/>
        <v>16265.574291229335</v>
      </c>
    </row>
    <row r="44" spans="6:11" ht="19.5" customHeight="1" thickTop="1">
      <c r="F44" s="38">
        <v>6</v>
      </c>
      <c r="G44" s="73">
        <v>740</v>
      </c>
      <c r="H44" s="40">
        <f t="shared" si="10"/>
        <v>2644.0279548999997</v>
      </c>
      <c r="I44" s="41">
        <f t="shared" si="11"/>
        <v>17343.68645212339</v>
      </c>
      <c r="K44" s="76" t="s">
        <v>87</v>
      </c>
    </row>
    <row r="45" spans="3:11" ht="19.5" customHeight="1" thickBot="1">
      <c r="C45" s="9"/>
      <c r="D45" s="9"/>
      <c r="E45" s="9"/>
      <c r="F45" s="44">
        <v>7</v>
      </c>
      <c r="G45" s="74">
        <v>782</v>
      </c>
      <c r="H45" s="46">
        <f t="shared" si="10"/>
        <v>2794.09563035</v>
      </c>
      <c r="I45" s="47">
        <f t="shared" si="11"/>
        <v>18328.06587397495</v>
      </c>
      <c r="K45" s="77" t="s">
        <v>76</v>
      </c>
    </row>
    <row r="46" spans="3:4" ht="15.75" thickTop="1">
      <c r="C46" s="64"/>
      <c r="D46" s="64"/>
    </row>
    <row r="47" spans="3:5" ht="15">
      <c r="C47" s="64"/>
      <c r="D47" s="64"/>
      <c r="E47" s="64"/>
    </row>
    <row r="48" spans="3:5" ht="15">
      <c r="C48" s="64"/>
      <c r="D48" s="64"/>
      <c r="E48" s="64"/>
    </row>
    <row r="49" spans="3:5" ht="15">
      <c r="C49" s="9"/>
      <c r="D49" s="9"/>
      <c r="E49" s="9"/>
    </row>
  </sheetData>
  <sheetProtection password="CD3F" sheet="1" objects="1" scenarios="1"/>
  <mergeCells count="28">
    <mergeCell ref="B4:K5"/>
    <mergeCell ref="J14:J15"/>
    <mergeCell ref="F35:I36"/>
    <mergeCell ref="L4:M4"/>
    <mergeCell ref="L5:M5"/>
    <mergeCell ref="D14:E14"/>
    <mergeCell ref="C13:E13"/>
    <mergeCell ref="B14:B15"/>
    <mergeCell ref="C14:C15"/>
    <mergeCell ref="J28:L28"/>
    <mergeCell ref="H37:I37"/>
    <mergeCell ref="B31:B32"/>
    <mergeCell ref="F37:F38"/>
    <mergeCell ref="F28:H28"/>
    <mergeCell ref="C31:C32"/>
    <mergeCell ref="D31:E31"/>
    <mergeCell ref="G37:G38"/>
    <mergeCell ref="D28:E28"/>
    <mergeCell ref="E7:F7"/>
    <mergeCell ref="E8:F8"/>
    <mergeCell ref="E9:F9"/>
    <mergeCell ref="F27:K27"/>
    <mergeCell ref="C12:L12"/>
    <mergeCell ref="J13:M13"/>
    <mergeCell ref="K14:M14"/>
    <mergeCell ref="F13:I13"/>
    <mergeCell ref="G14:I14"/>
    <mergeCell ref="F14:F15"/>
  </mergeCells>
  <conditionalFormatting sqref="B16:M26">
    <cfRule type="expression" priority="1" dxfId="0" stopIfTrue="1">
      <formula>(EVEN(ROW())=ROW())</formula>
    </cfRule>
  </conditionalFormatting>
  <conditionalFormatting sqref="B33:E43 F39:I45">
    <cfRule type="expression" priority="2" dxfId="0" stopIfTrue="1">
      <formula>(ODD(ROW())=ROW())</formula>
    </cfRule>
  </conditionalFormatting>
  <hyperlinks>
    <hyperlink ref="B2:J2" location="Intro!B8" display="Pour revenir à la page d'accueil, cliquez ici ou sur l'onglet Intro en bas de page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showGridLines="0" showRowColHeaders="0" zoomScale="80" zoomScaleNormal="80" zoomScaleSheetLayoutView="100" workbookViewId="0" topLeftCell="A12">
      <selection activeCell="M2" sqref="M2:T3"/>
    </sheetView>
  </sheetViews>
  <sheetFormatPr defaultColWidth="11.00390625" defaultRowHeight="12"/>
  <cols>
    <col min="1" max="1" width="3.00390625" style="1" customWidth="1"/>
    <col min="2" max="2" width="9.25390625" style="1" customWidth="1"/>
    <col min="3" max="3" width="10.875" style="1" customWidth="1"/>
    <col min="4" max="4" width="9.75390625" style="1" customWidth="1"/>
    <col min="5" max="5" width="11.375" style="1" customWidth="1"/>
    <col min="6" max="7" width="9.25390625" style="1" customWidth="1"/>
    <col min="8" max="8" width="10.125" style="1" customWidth="1"/>
    <col min="9" max="9" width="11.375" style="1" customWidth="1"/>
    <col min="10" max="10" width="9.25390625" style="1" customWidth="1"/>
    <col min="11" max="11" width="9.75390625" style="1" customWidth="1"/>
    <col min="12" max="12" width="10.125" style="1" customWidth="1"/>
    <col min="13" max="14" width="12.625" style="1" customWidth="1"/>
    <col min="15" max="15" width="12.75390625" style="1" customWidth="1"/>
    <col min="16" max="16384" width="12.625" style="1" customWidth="1"/>
  </cols>
  <sheetData>
    <row r="2" spans="2:10" ht="18" customHeight="1">
      <c r="B2" s="2" t="s">
        <v>52</v>
      </c>
      <c r="C2" s="3"/>
      <c r="D2" s="4"/>
      <c r="E2" s="3"/>
      <c r="F2" s="3"/>
      <c r="G2" s="3"/>
      <c r="H2" s="3"/>
      <c r="I2" s="3"/>
      <c r="J2" s="3"/>
    </row>
    <row r="3" ht="10.5" customHeight="1" thickBot="1">
      <c r="B3" s="5"/>
    </row>
    <row r="4" spans="2:13" s="6" customFormat="1" ht="36" customHeight="1" thickTop="1">
      <c r="B4" s="359" t="s">
        <v>88</v>
      </c>
      <c r="C4" s="360"/>
      <c r="D4" s="360"/>
      <c r="E4" s="360"/>
      <c r="F4" s="360"/>
      <c r="G4" s="360"/>
      <c r="H4" s="360"/>
      <c r="I4" s="360"/>
      <c r="J4" s="360"/>
      <c r="K4" s="361"/>
      <c r="L4" s="373" t="s">
        <v>53</v>
      </c>
      <c r="M4" s="374"/>
    </row>
    <row r="5" spans="2:13" s="6" customFormat="1" ht="36" customHeight="1" thickBot="1">
      <c r="B5" s="362"/>
      <c r="C5" s="363"/>
      <c r="D5" s="363"/>
      <c r="E5" s="363"/>
      <c r="F5" s="363"/>
      <c r="G5" s="363"/>
      <c r="H5" s="363"/>
      <c r="I5" s="363"/>
      <c r="J5" s="363"/>
      <c r="K5" s="364"/>
      <c r="L5" s="375">
        <f>'données à mettre à jour'!H2</f>
        <v>36922</v>
      </c>
      <c r="M5" s="376"/>
    </row>
    <row r="6" spans="2:8" s="7" customFormat="1" ht="9.75" customHeight="1" thickTop="1">
      <c r="B6" s="8"/>
      <c r="C6" s="8"/>
      <c r="D6" s="8"/>
      <c r="E6" s="8"/>
      <c r="F6" s="8"/>
      <c r="G6" s="8"/>
      <c r="H6" s="8"/>
    </row>
    <row r="7" spans="2:8" s="9" customFormat="1" ht="18" customHeight="1">
      <c r="B7" s="10"/>
      <c r="D7" s="11" t="s">
        <v>54</v>
      </c>
      <c r="E7" s="391">
        <f>'données à mettre à jour'!F2</f>
        <v>53.0196</v>
      </c>
      <c r="F7" s="392"/>
      <c r="G7" s="12">
        <f>E7*6.55957</f>
        <v>347.785777572</v>
      </c>
      <c r="H7" s="12"/>
    </row>
    <row r="8" spans="2:8" s="13" customFormat="1" ht="18" customHeight="1">
      <c r="B8" s="14"/>
      <c r="D8" s="15" t="s">
        <v>55</v>
      </c>
      <c r="E8" s="393">
        <f>ROUNDDOWN(E7/12,2)</f>
        <v>4.41</v>
      </c>
      <c r="F8" s="393"/>
      <c r="G8" s="17">
        <f>E8*6.55957</f>
        <v>28.927703700000002</v>
      </c>
      <c r="H8" s="18"/>
    </row>
    <row r="9" spans="2:8" s="13" customFormat="1" ht="18" customHeight="1">
      <c r="B9" s="14"/>
      <c r="D9" s="15" t="s">
        <v>56</v>
      </c>
      <c r="E9" s="393">
        <f>ROUNDDOWN($E$7/12,2)+ROUNDDOWN($E$7/12,2)*0.01-ROUNDDOWN($E$7/12,2)*0.0785-(ROUNDDOWN($E$7/12,2)+ROUNDDOWN($E$7/12,2)*0.01)*0.95*0.075-(ROUNDDOWN($E$7/12,2)+ROUNDDOWN($E$7/12,2)*0.01)*0.95*0.005-(ROUNDDOWN($E$7/12,2)+ROUNDDOWN($E$7/12,2)*0.01)*0.026-(ROUNDDOWN($E$7/12,2)+ROUNDDOWN($E$7/12,2)*0.01-ROUNDDOWN($E$7/12,2)*0.0785)*0.01</f>
        <v>3.6125176500000005</v>
      </c>
      <c r="F9" s="393"/>
      <c r="G9" s="17">
        <f>E9*6.55957</f>
        <v>23.696562401410503</v>
      </c>
      <c r="H9" s="19" t="s">
        <v>57</v>
      </c>
    </row>
    <row r="10" spans="2:8" s="13" customFormat="1" ht="18" customHeight="1">
      <c r="B10" s="14"/>
      <c r="D10" s="20" t="s">
        <v>77</v>
      </c>
      <c r="E10" s="16"/>
      <c r="F10" s="16"/>
      <c r="G10" s="17"/>
      <c r="H10" s="19"/>
    </row>
    <row r="11" spans="2:13" s="13" customFormat="1" ht="22.5" customHeight="1" thickBot="1">
      <c r="B11" s="21"/>
      <c r="M11" s="22" t="s">
        <v>59</v>
      </c>
    </row>
    <row r="12" spans="2:13" s="23" customFormat="1" ht="19.5" customHeight="1" thickBot="1" thickTop="1">
      <c r="B12" s="24"/>
      <c r="C12" s="396" t="s">
        <v>60</v>
      </c>
      <c r="D12" s="397"/>
      <c r="E12" s="397"/>
      <c r="F12" s="397"/>
      <c r="G12" s="397"/>
      <c r="H12" s="397"/>
      <c r="I12" s="397"/>
      <c r="J12" s="397"/>
      <c r="K12" s="397"/>
      <c r="L12" s="398"/>
      <c r="M12" s="25"/>
    </row>
    <row r="13" spans="2:13" s="23" customFormat="1" ht="19.5" customHeight="1" thickBot="1" thickTop="1">
      <c r="B13" s="24"/>
      <c r="C13" s="379" t="s">
        <v>61</v>
      </c>
      <c r="D13" s="380"/>
      <c r="E13" s="381"/>
      <c r="F13" s="379" t="s">
        <v>62</v>
      </c>
      <c r="G13" s="380"/>
      <c r="H13" s="380"/>
      <c r="I13" s="381"/>
      <c r="J13" s="379" t="s">
        <v>63</v>
      </c>
      <c r="K13" s="380"/>
      <c r="L13" s="380"/>
      <c r="M13" s="381"/>
    </row>
    <row r="14" spans="2:13" s="26" customFormat="1" ht="19.5" customHeight="1" thickTop="1">
      <c r="B14" s="382" t="s">
        <v>10</v>
      </c>
      <c r="C14" s="384" t="s">
        <v>64</v>
      </c>
      <c r="D14" s="377" t="s">
        <v>65</v>
      </c>
      <c r="E14" s="378"/>
      <c r="F14" s="384" t="s">
        <v>64</v>
      </c>
      <c r="G14" s="402" t="s">
        <v>65</v>
      </c>
      <c r="H14" s="403"/>
      <c r="I14" s="401"/>
      <c r="J14" s="365" t="s">
        <v>64</v>
      </c>
      <c r="K14" s="399" t="s">
        <v>65</v>
      </c>
      <c r="L14" s="400"/>
      <c r="M14" s="401"/>
    </row>
    <row r="15" spans="2:13" s="26" customFormat="1" ht="42" thickBot="1">
      <c r="B15" s="383"/>
      <c r="C15" s="385"/>
      <c r="D15" s="27" t="s">
        <v>66</v>
      </c>
      <c r="E15" s="28" t="s">
        <v>67</v>
      </c>
      <c r="F15" s="404"/>
      <c r="G15" s="29" t="s">
        <v>68</v>
      </c>
      <c r="H15" s="29" t="s">
        <v>80</v>
      </c>
      <c r="I15" s="30" t="s">
        <v>69</v>
      </c>
      <c r="J15" s="366"/>
      <c r="K15" s="29" t="s">
        <v>68</v>
      </c>
      <c r="L15" s="29" t="s">
        <v>80</v>
      </c>
      <c r="M15" s="30" t="s">
        <v>69</v>
      </c>
    </row>
    <row r="16" spans="2:15" ht="19.5" customHeight="1" thickTop="1">
      <c r="B16" s="31">
        <v>1</v>
      </c>
      <c r="C16" s="32">
        <v>340</v>
      </c>
      <c r="D16" s="33">
        <f>ROUNDDOWN($E$7*C16/12/2,2)+ROUNDDOWN($E$7*C16/12/2,2)*0.01-ROUNDDOWN($E$7*C16/12/2,2)*0.0785-(ROUNDDOWN($E$7*C16/12/2,2)+ROUNDDOWN($E$7*C16/12/2,2)*0.01)*0.97*0.075-(ROUNDDOWN($E$7*C16/12/2,2)+ROUNDDOWN($E$7*C16/12/2,2)*0.01)*0.97*0.005-(ROUNDDOWN($E$7*C16/12/2,2)+ROUNDDOWN($E$7*C16/12/2,2)*0.01)*0.026-(ROUNDDOWN($E$7*C16/12/2,2)+ROUNDDOWN($E$7*C16/12/2,2)*0.01-ROUNDDOWN($E$7*C16/12/2,2)*0.0785-ROUND($E$7*C16/12/2*0.01*0.05,0))*0.01-ROUND((($E$7*C16/12/2)*0.01)*0.05,0)</f>
        <v>614.06922939</v>
      </c>
      <c r="E16" s="34">
        <f aca="true" t="shared" si="0" ref="E16:E26">D16*6.55957</f>
        <v>4028.0300950297624</v>
      </c>
      <c r="F16" s="35">
        <v>340</v>
      </c>
      <c r="G16" s="33">
        <f>ROUNDDOWN($E$7*F16/12/2,2)+ROUNDDOWN($E$7*F16/12/2,2)*0.01-ROUNDDOWN($E$7*F16/12/2,2)*0.0785-(ROUNDDOWN($E$7*F16/12/2,2)+ROUNDDOWN($E$7*F16/12/2,2)*0.01+ROUNDDOWN($F$28,2))*0.97*0.075-(ROUNDDOWN($E$7*F16/12/2,2)+ROUNDDOWN($E$7*F16/12/2,2)*0.01+ROUNDDOWN($F$28,2))*0.97*0.005-(ROUNDDOWN($E$7*F16/12/2,2)+ROUNDDOWN($E$7*F16/12/2,2)*0.01)*0.026-(ROUNDDOWN($E$7*F16/12/2,2)+ROUNDDOWN($E$7*F16/12/2,2)*0.01-ROUNDDOWN($E$7*F16/12/2,2)*0.0785-ROUND((($E$7*F16/12/2)*0.01+$F$28)*0.05,0))*0.01-ROUND((($E$7*F16/12/2)*0.01+$F$28)*0.05,0)</f>
        <v>593.60441339</v>
      </c>
      <c r="H16" s="36">
        <f aca="true" t="shared" si="1" ref="H16:H26">G16+$F$28</f>
        <v>755.26441339</v>
      </c>
      <c r="I16" s="37">
        <f aca="true" t="shared" si="2" ref="I16:I26">H16*6.55957</f>
        <v>4954.209788140642</v>
      </c>
      <c r="J16" s="35">
        <v>340</v>
      </c>
      <c r="K16" s="33">
        <f>ROUNDDOWN($E$7*J16/12/2,2)+ROUNDDOWN($E$7*J16/12/2,2)*0.01-ROUNDDOWN($E$7*J16/12/2,2)*0.0785-(ROUNDDOWN($E$7*J16/12/2,2)+ROUNDDOWN($E$7*J16/12/2,2)*0.01+ROUNDDOWN($J$28,2))*0.97*0.075-(ROUNDDOWN($E$7*J16/12/2,2)+ROUNDDOWN($E$7*J16/12/2,2)*0.01+ROUNDDOWN($J$28,2))*0.97*0.005-(ROUNDDOWN($E$7*J16/12/2,2)+ROUNDDOWN($E$7*J16/12/2,2)*0.01)*0.026-(ROUNDDOWN($E$7*J16/12/2,2)+ROUNDDOWN($E$7*J16/12/2,2)*0.01-ROUNDDOWN($E$7*J16/12/2,2)*0.0785-ROUND((($E$7*J16/12/2)*0.01+$J$28)*0.05,0))*0.01-ROUND((($E$7*J16/12/2)*0.01+$J$28)*0.05,0)</f>
        <v>588.48782139</v>
      </c>
      <c r="L16" s="36">
        <f aca="true" t="shared" si="3" ref="L16:L26">K16+$J$28</f>
        <v>790.5678213900001</v>
      </c>
      <c r="M16" s="34">
        <f aca="true" t="shared" si="4" ref="M16:M26">L16*6.55957</f>
        <v>5185.784964155203</v>
      </c>
      <c r="O16" s="196"/>
    </row>
    <row r="17" spans="2:15" ht="19.5" customHeight="1">
      <c r="B17" s="38">
        <v>2</v>
      </c>
      <c r="C17" s="39">
        <v>356</v>
      </c>
      <c r="D17" s="40">
        <f aca="true" t="shared" si="5" ref="D17:D26">ROUNDDOWN($E$7*C17/12/2,2)+ROUNDDOWN($E$7*C17/12/2,2)*0.01-ROUNDDOWN($E$7*C17/12/2,2)*0.0785-(ROUNDDOWN($E$7*C17/12/2,2)+ROUNDDOWN($E$7*C17/12/2,2)*0.01)*0.97*0.075-(ROUNDDOWN($E$7*C17/12/2,2)+ROUNDDOWN($E$7*C17/12/2,2)*0.01)*0.97*0.005-(ROUNDDOWN($E$7*C17/12/2,2)+ROUNDDOWN($E$7*C17/12/2,2)*0.01)*0.026-(ROUNDDOWN($E$7*C17/12/2,2)+ROUNDDOWN($E$7*C17/12/2,2)*0.01-ROUNDDOWN($E$7*C17/12/2,2)*0.0785-ROUND($E$7*C17/12/2*0.01*0.05,0))*0.01-ROUND((($E$7*C17/12/2)*0.01)*0.05,0)</f>
        <v>642.96141105</v>
      </c>
      <c r="E17" s="41">
        <f t="shared" si="0"/>
        <v>4217.550383081249</v>
      </c>
      <c r="F17" s="39">
        <v>356</v>
      </c>
      <c r="G17" s="40">
        <f aca="true" t="shared" si="6" ref="G17:G26">ROUNDDOWN($E$7*F17/12/2,2)+ROUNDDOWN($E$7*F17/12/2,2)*0.01-ROUNDDOWN($E$7*F17/12/2,2)*0.0785-(ROUNDDOWN($E$7*F17/12/2,2)+ROUNDDOWN($E$7*F17/12/2,2)*0.01+ROUNDDOWN($F$28,2))*0.97*0.075-(ROUNDDOWN($E$7*F17/12/2,2)+ROUNDDOWN($E$7*F17/12/2,2)*0.01+ROUNDDOWN($F$28,2))*0.97*0.005-(ROUNDDOWN($E$7*F17/12/2,2)+ROUNDDOWN($E$7*F17/12/2,2)*0.01)*0.026-(ROUNDDOWN($E$7*F17/12/2,2)+ROUNDDOWN($E$7*F17/12/2,2)*0.01-ROUNDDOWN($E$7*F17/12/2,2)*0.0785-ROUND((($E$7*F17/12/2)*0.01+$F$28)*0.05,0))*0.01-ROUND((($E$7*F17/12/2)*0.01+$F$28)*0.05,0)</f>
        <v>622.4965950500001</v>
      </c>
      <c r="H17" s="42">
        <f t="shared" si="1"/>
        <v>784.1565950500001</v>
      </c>
      <c r="I17" s="43">
        <f t="shared" si="2"/>
        <v>5143.730076192129</v>
      </c>
      <c r="J17" s="39">
        <v>356</v>
      </c>
      <c r="K17" s="40">
        <f aca="true" t="shared" si="7" ref="K17:K26">ROUNDDOWN($E$7*J17/12/2,2)+ROUNDDOWN($E$7*J17/12/2,2)*0.01-ROUNDDOWN($E$7*J17/12/2,2)*0.0785-(ROUNDDOWN($E$7*J17/12/2,2)+ROUNDDOWN($E$7*J17/12/2,2)*0.01+ROUNDDOWN($J$28,2))*0.97*0.075-(ROUNDDOWN($E$7*J17/12/2,2)+ROUNDDOWN($E$7*J17/12/2,2)*0.01+ROUNDDOWN($J$28,2))*0.97*0.005-(ROUNDDOWN($E$7*J17/12/2,2)+ROUNDDOWN($E$7*J17/12/2,2)*0.01)*0.026-(ROUNDDOWN($E$7*J17/12/2,2)+ROUNDDOWN($E$7*J17/12/2,2)*0.01-ROUNDDOWN($E$7*J17/12/2,2)*0.0785-ROUND((($E$7*J17/12/2)*0.01+$J$28)*0.05,0))*0.01-ROUND((($E$7*J17/12/2)*0.01+$J$28)*0.05,0)</f>
        <v>617.38000305</v>
      </c>
      <c r="L17" s="42">
        <f t="shared" si="3"/>
        <v>819.4600030500001</v>
      </c>
      <c r="M17" s="41">
        <f t="shared" si="4"/>
        <v>5375.305252206689</v>
      </c>
      <c r="O17" s="196"/>
    </row>
    <row r="18" spans="2:15" ht="19.5" customHeight="1">
      <c r="B18" s="38">
        <v>3</v>
      </c>
      <c r="C18" s="39">
        <v>365</v>
      </c>
      <c r="D18" s="40">
        <f t="shared" si="5"/>
        <v>659.21428517</v>
      </c>
      <c r="E18" s="41">
        <f t="shared" si="0"/>
        <v>4324.1622485725775</v>
      </c>
      <c r="F18" s="39">
        <v>365</v>
      </c>
      <c r="G18" s="40">
        <f t="shared" si="6"/>
        <v>638.7494691700001</v>
      </c>
      <c r="H18" s="42">
        <f t="shared" si="1"/>
        <v>800.4094691700001</v>
      </c>
      <c r="I18" s="43">
        <f t="shared" si="2"/>
        <v>5250.341941683458</v>
      </c>
      <c r="J18" s="39">
        <v>365</v>
      </c>
      <c r="K18" s="40">
        <f t="shared" si="7"/>
        <v>632.64287717</v>
      </c>
      <c r="L18" s="42">
        <f t="shared" si="3"/>
        <v>834.7228771700001</v>
      </c>
      <c r="M18" s="41">
        <f t="shared" si="4"/>
        <v>5475.423143398018</v>
      </c>
      <c r="O18" s="196"/>
    </row>
    <row r="19" spans="2:15" ht="19.5" customHeight="1">
      <c r="B19" s="38">
        <v>4</v>
      </c>
      <c r="C19" s="39">
        <v>372</v>
      </c>
      <c r="D19" s="40">
        <f t="shared" si="5"/>
        <v>671.8617681999999</v>
      </c>
      <c r="E19" s="41">
        <f t="shared" si="0"/>
        <v>4407.1242988316735</v>
      </c>
      <c r="F19" s="39">
        <v>372</v>
      </c>
      <c r="G19" s="40">
        <f t="shared" si="6"/>
        <v>651.3969522</v>
      </c>
      <c r="H19" s="42">
        <f t="shared" si="1"/>
        <v>813.0569522</v>
      </c>
      <c r="I19" s="43">
        <f t="shared" si="2"/>
        <v>5333.303991942554</v>
      </c>
      <c r="J19" s="39">
        <v>372</v>
      </c>
      <c r="K19" s="40">
        <f t="shared" si="7"/>
        <v>645.2903601999999</v>
      </c>
      <c r="L19" s="42">
        <f t="shared" si="3"/>
        <v>847.3703601999999</v>
      </c>
      <c r="M19" s="41">
        <f t="shared" si="4"/>
        <v>5558.385193657114</v>
      </c>
      <c r="O19" s="196"/>
    </row>
    <row r="20" spans="2:15" ht="19.5" customHeight="1">
      <c r="B20" s="38">
        <v>5</v>
      </c>
      <c r="C20" s="39">
        <v>382</v>
      </c>
      <c r="D20" s="40">
        <f t="shared" si="5"/>
        <v>689.9214256099999</v>
      </c>
      <c r="E20" s="41">
        <f t="shared" si="0"/>
        <v>4525.587885788587</v>
      </c>
      <c r="F20" s="39">
        <v>382</v>
      </c>
      <c r="G20" s="40">
        <f t="shared" si="6"/>
        <v>668.46660961</v>
      </c>
      <c r="H20" s="42">
        <f t="shared" si="1"/>
        <v>830.12660961</v>
      </c>
      <c r="I20" s="43">
        <f t="shared" si="2"/>
        <v>5445.273604599467</v>
      </c>
      <c r="J20" s="39">
        <v>382</v>
      </c>
      <c r="K20" s="40">
        <f t="shared" si="7"/>
        <v>663.35001761</v>
      </c>
      <c r="L20" s="42">
        <f t="shared" si="3"/>
        <v>865.43001761</v>
      </c>
      <c r="M20" s="41">
        <f t="shared" si="4"/>
        <v>5676.848780614028</v>
      </c>
      <c r="O20" s="196"/>
    </row>
    <row r="21" spans="2:15" ht="19.5" customHeight="1">
      <c r="B21" s="38">
        <v>6</v>
      </c>
      <c r="C21" s="39">
        <v>389</v>
      </c>
      <c r="D21" s="40">
        <f t="shared" si="5"/>
        <v>702.56073315</v>
      </c>
      <c r="E21" s="41">
        <f t="shared" si="0"/>
        <v>4608.4963083487455</v>
      </c>
      <c r="F21" s="39">
        <v>389</v>
      </c>
      <c r="G21" s="40">
        <f t="shared" si="6"/>
        <v>681.10591715</v>
      </c>
      <c r="H21" s="42">
        <f t="shared" si="1"/>
        <v>842.76591715</v>
      </c>
      <c r="I21" s="43">
        <f t="shared" si="2"/>
        <v>5528.182027159625</v>
      </c>
      <c r="J21" s="39">
        <v>389</v>
      </c>
      <c r="K21" s="40">
        <f t="shared" si="7"/>
        <v>675.9893251499999</v>
      </c>
      <c r="L21" s="42">
        <f t="shared" si="3"/>
        <v>878.0693251499999</v>
      </c>
      <c r="M21" s="41">
        <f t="shared" si="4"/>
        <v>5759.757203174185</v>
      </c>
      <c r="O21" s="196"/>
    </row>
    <row r="22" spans="2:15" ht="19.5" customHeight="1">
      <c r="B22" s="38">
        <v>7</v>
      </c>
      <c r="C22" s="39">
        <v>398</v>
      </c>
      <c r="D22" s="40">
        <f t="shared" si="5"/>
        <v>718.82178276</v>
      </c>
      <c r="E22" s="41">
        <f t="shared" si="0"/>
        <v>4715.161801539013</v>
      </c>
      <c r="F22" s="39">
        <v>398</v>
      </c>
      <c r="G22" s="40">
        <f t="shared" si="6"/>
        <v>697.3669667600001</v>
      </c>
      <c r="H22" s="42">
        <f t="shared" si="1"/>
        <v>859.02696676</v>
      </c>
      <c r="I22" s="43">
        <f t="shared" si="2"/>
        <v>5634.847520349894</v>
      </c>
      <c r="J22" s="39">
        <v>398</v>
      </c>
      <c r="K22" s="40">
        <f t="shared" si="7"/>
        <v>692.25037476</v>
      </c>
      <c r="L22" s="42">
        <f t="shared" si="3"/>
        <v>894.33037476</v>
      </c>
      <c r="M22" s="41">
        <f t="shared" si="4"/>
        <v>5866.422696364453</v>
      </c>
      <c r="O22" s="196"/>
    </row>
    <row r="23" spans="2:15" ht="19.5" customHeight="1">
      <c r="B23" s="38">
        <v>8</v>
      </c>
      <c r="C23" s="39">
        <v>419</v>
      </c>
      <c r="D23" s="40">
        <f t="shared" si="5"/>
        <v>756.74788087</v>
      </c>
      <c r="E23" s="41">
        <f t="shared" si="0"/>
        <v>4963.940696918426</v>
      </c>
      <c r="F23" s="39">
        <v>419</v>
      </c>
      <c r="G23" s="40">
        <f t="shared" si="6"/>
        <v>735.29306487</v>
      </c>
      <c r="H23" s="42">
        <f t="shared" si="1"/>
        <v>896.9530648699999</v>
      </c>
      <c r="I23" s="43">
        <f t="shared" si="2"/>
        <v>5883.626415729305</v>
      </c>
      <c r="J23" s="39">
        <v>419</v>
      </c>
      <c r="K23" s="40">
        <f t="shared" si="7"/>
        <v>730.17647287</v>
      </c>
      <c r="L23" s="42">
        <f t="shared" si="3"/>
        <v>932.25647287</v>
      </c>
      <c r="M23" s="41">
        <f t="shared" si="4"/>
        <v>6115.201591743866</v>
      </c>
      <c r="O23" s="196"/>
    </row>
    <row r="24" spans="2:15" ht="19.5" customHeight="1">
      <c r="B24" s="38">
        <v>9</v>
      </c>
      <c r="C24" s="39">
        <v>440</v>
      </c>
      <c r="D24" s="40">
        <f t="shared" si="5"/>
        <v>794.67397898</v>
      </c>
      <c r="E24" s="41">
        <f t="shared" si="0"/>
        <v>5212.719592297839</v>
      </c>
      <c r="F24" s="39">
        <v>440</v>
      </c>
      <c r="G24" s="40">
        <f t="shared" si="6"/>
        <v>773.21916298</v>
      </c>
      <c r="H24" s="42">
        <f t="shared" si="1"/>
        <v>934.8791629799999</v>
      </c>
      <c r="I24" s="43">
        <f t="shared" si="2"/>
        <v>6132.405311108718</v>
      </c>
      <c r="J24" s="39">
        <v>440</v>
      </c>
      <c r="K24" s="40">
        <f t="shared" si="7"/>
        <v>768.10257098</v>
      </c>
      <c r="L24" s="42">
        <f t="shared" si="3"/>
        <v>970.18257098</v>
      </c>
      <c r="M24" s="41">
        <f t="shared" si="4"/>
        <v>6363.980487123279</v>
      </c>
      <c r="O24" s="196"/>
    </row>
    <row r="25" spans="2:15" ht="19.5" customHeight="1">
      <c r="B25" s="38">
        <v>10</v>
      </c>
      <c r="C25" s="39">
        <v>468</v>
      </c>
      <c r="D25" s="40">
        <f t="shared" si="5"/>
        <v>844.2575601200001</v>
      </c>
      <c r="E25" s="41">
        <f t="shared" si="0"/>
        <v>5537.966563636349</v>
      </c>
      <c r="F25" s="39">
        <v>468</v>
      </c>
      <c r="G25" s="40">
        <f t="shared" si="6"/>
        <v>823.7927441200001</v>
      </c>
      <c r="H25" s="42">
        <f t="shared" si="1"/>
        <v>985.45274412</v>
      </c>
      <c r="I25" s="43">
        <f t="shared" si="2"/>
        <v>6464.146256747228</v>
      </c>
      <c r="J25" s="39">
        <v>468</v>
      </c>
      <c r="K25" s="40">
        <f t="shared" si="7"/>
        <v>818.6761521200001</v>
      </c>
      <c r="L25" s="42">
        <f t="shared" si="3"/>
        <v>1020.7561521200001</v>
      </c>
      <c r="M25" s="41">
        <f t="shared" si="4"/>
        <v>6695.721432761789</v>
      </c>
      <c r="O25" s="196"/>
    </row>
    <row r="26" spans="2:15" ht="19.5" customHeight="1" thickBot="1">
      <c r="B26" s="44">
        <v>11</v>
      </c>
      <c r="C26" s="45">
        <v>514</v>
      </c>
      <c r="D26" s="46">
        <f t="shared" si="5"/>
        <v>927.3368895</v>
      </c>
      <c r="E26" s="47">
        <f t="shared" si="0"/>
        <v>6082.931240257515</v>
      </c>
      <c r="F26" s="45">
        <v>514</v>
      </c>
      <c r="G26" s="46">
        <f t="shared" si="6"/>
        <v>906.8720734999999</v>
      </c>
      <c r="H26" s="48">
        <f t="shared" si="1"/>
        <v>1068.5320735</v>
      </c>
      <c r="I26" s="49">
        <f t="shared" si="2"/>
        <v>7009.110933368395</v>
      </c>
      <c r="J26" s="45">
        <v>514</v>
      </c>
      <c r="K26" s="46">
        <f t="shared" si="7"/>
        <v>901.7554814999999</v>
      </c>
      <c r="L26" s="48">
        <f t="shared" si="3"/>
        <v>1103.8354814999998</v>
      </c>
      <c r="M26" s="47">
        <f t="shared" si="4"/>
        <v>7240.686109382954</v>
      </c>
      <c r="O26" s="196"/>
    </row>
    <row r="27" spans="3:11" ht="19.5" customHeight="1" thickBot="1" thickTop="1">
      <c r="C27" s="50"/>
      <c r="D27" s="50"/>
      <c r="E27" s="50"/>
      <c r="F27" s="394" t="s">
        <v>70</v>
      </c>
      <c r="G27" s="395"/>
      <c r="H27" s="395"/>
      <c r="I27" s="395"/>
      <c r="J27" s="395"/>
      <c r="K27" s="395"/>
    </row>
    <row r="28" spans="3:13" s="51" customFormat="1" ht="16.5" thickBot="1" thickTop="1">
      <c r="C28" s="52" t="s">
        <v>71</v>
      </c>
      <c r="D28" s="389">
        <f>'données à mettre à jour'!H4</f>
        <v>36525</v>
      </c>
      <c r="E28" s="390"/>
      <c r="F28" s="386">
        <f>'données à mettre à jour'!C4</f>
        <v>161.66</v>
      </c>
      <c r="G28" s="387"/>
      <c r="H28" s="387"/>
      <c r="I28" s="53">
        <f>F28*6.55957</f>
        <v>1060.4200862</v>
      </c>
      <c r="J28" s="386">
        <f>'données à mettre à jour'!F4</f>
        <v>202.08</v>
      </c>
      <c r="K28" s="387"/>
      <c r="L28" s="388"/>
      <c r="M28" s="53">
        <f>J28*6.55957</f>
        <v>1325.5579056000001</v>
      </c>
    </row>
    <row r="29" spans="3:11" s="51" customFormat="1" ht="39.75" customHeight="1" thickBot="1" thickTop="1">
      <c r="C29" s="54"/>
      <c r="D29" s="54"/>
      <c r="E29" s="54"/>
      <c r="F29" s="55"/>
      <c r="G29" s="55"/>
      <c r="H29" s="56"/>
      <c r="I29" s="57"/>
      <c r="J29" s="57"/>
      <c r="K29" s="57"/>
    </row>
    <row r="30" spans="3:13" ht="19.5" customHeight="1" thickBot="1" thickTop="1">
      <c r="C30" s="58" t="s">
        <v>72</v>
      </c>
      <c r="D30" s="59"/>
      <c r="E30" s="60"/>
      <c r="I30" s="51"/>
      <c r="L30" s="61"/>
      <c r="M30" s="61"/>
    </row>
    <row r="31" spans="2:14" s="9" customFormat="1" ht="19.5" customHeight="1" thickTop="1">
      <c r="B31" s="382" t="s">
        <v>10</v>
      </c>
      <c r="C31" s="384" t="s">
        <v>64</v>
      </c>
      <c r="D31" s="377" t="s">
        <v>65</v>
      </c>
      <c r="E31" s="378"/>
      <c r="I31" s="62"/>
      <c r="L31" s="63"/>
      <c r="M31" s="63"/>
      <c r="N31" s="63"/>
    </row>
    <row r="32" spans="2:5" s="64" customFormat="1" ht="19.5" customHeight="1" thickBot="1">
      <c r="B32" s="383"/>
      <c r="C32" s="385"/>
      <c r="D32" s="27" t="s">
        <v>66</v>
      </c>
      <c r="E32" s="28" t="s">
        <v>67</v>
      </c>
    </row>
    <row r="33" spans="2:14" s="64" customFormat="1" ht="19.5" customHeight="1" thickTop="1">
      <c r="B33" s="31">
        <v>1</v>
      </c>
      <c r="C33" s="32">
        <v>348</v>
      </c>
      <c r="D33" s="33">
        <f>ROUNDDOWN($E$7*C33/12/2,2)+ROUNDDOWN($E$7*C33/12/2,2)*0.01-ROUNDDOWN($E$7*C33/12/2,2)*0.0785-(ROUNDDOWN($E$7*C33/12/2,2)+ROUNDDOWN($E$7*C33/12/2,2)*0.01)*0.97*0.075-(ROUNDDOWN($E$7*C33/12/2,2)+ROUNDDOWN($E$7*C33/12/2,2)*0.01)*0.97*0.005-(ROUNDDOWN($E$7*C33/12/2,2)+ROUNDDOWN($E$7*C33/12/2,2)*0.01)*0.026-(ROUNDDOWN($E$7*C33/12/2,2)+ROUNDDOWN($E$7*C33/12/2,2)*0.01-ROUNDDOWN($E$7*C33/12/2,2)*0.0785-ROUND($E$7*C33/12/2*0.01*0.05,0))*0.01-ROUND((($E$7*C33/12/2)*0.01)*0.05,0)</f>
        <v>628.5153202199999</v>
      </c>
      <c r="E33" s="34">
        <f aca="true" t="shared" si="8" ref="E33:E43">D33*6.55957</f>
        <v>4122.790239055505</v>
      </c>
      <c r="L33" s="65"/>
      <c r="M33" s="65"/>
      <c r="N33" s="65"/>
    </row>
    <row r="34" spans="2:14" s="64" customFormat="1" ht="19.5" customHeight="1" thickBot="1">
      <c r="B34" s="38">
        <v>2</v>
      </c>
      <c r="C34" s="39">
        <v>375</v>
      </c>
      <c r="D34" s="40">
        <f aca="true" t="shared" si="9" ref="D34:D43">ROUNDDOWN($E$7*C34/12/2,2)+ROUNDDOWN($E$7*C34/12/2,2)*0.01-ROUNDDOWN($E$7*C34/12/2,2)*0.0785-(ROUNDDOWN($E$7*C34/12/2,2)+ROUNDDOWN($E$7*C34/12/2,2)*0.01)*0.97*0.075-(ROUNDDOWN($E$7*C34/12/2,2)+ROUNDDOWN($E$7*C34/12/2,2)*0.01)*0.97*0.005-(ROUNDDOWN($E$7*C34/12/2,2)+ROUNDDOWN($E$7*C34/12/2,2)*0.01)*0.026-(ROUNDDOWN($E$7*C34/12/2,2)+ROUNDDOWN($E$7*C34/12/2,2)*0.01-ROUNDDOWN($E$7*C34/12/2,2)*0.0785-ROUND($E$7*C34/12/2*0.01*0.05,0))*0.01-ROUND((($E$7*C34/12/2)*0.01)*0.05,0)</f>
        <v>677.2821180699999</v>
      </c>
      <c r="E34" s="41">
        <f t="shared" si="8"/>
        <v>4442.679463228429</v>
      </c>
      <c r="K34" s="66" t="s">
        <v>73</v>
      </c>
      <c r="L34" s="65"/>
      <c r="M34" s="65"/>
      <c r="N34" s="65"/>
    </row>
    <row r="35" spans="2:14" s="9" customFormat="1" ht="19.5" customHeight="1" thickTop="1">
      <c r="B35" s="38">
        <v>3</v>
      </c>
      <c r="C35" s="39">
        <v>394</v>
      </c>
      <c r="D35" s="40">
        <f t="shared" si="9"/>
        <v>711.5946496</v>
      </c>
      <c r="E35" s="41">
        <f t="shared" si="8"/>
        <v>4667.754915676672</v>
      </c>
      <c r="F35" s="367" t="s">
        <v>81</v>
      </c>
      <c r="G35" s="368"/>
      <c r="H35" s="368"/>
      <c r="I35" s="369"/>
      <c r="K35" s="67" t="s">
        <v>82</v>
      </c>
      <c r="L35" s="1"/>
      <c r="M35" s="1"/>
      <c r="N35" s="1"/>
    </row>
    <row r="36" spans="2:14" ht="19.5" customHeight="1" thickBot="1">
      <c r="B36" s="38">
        <v>4</v>
      </c>
      <c r="C36" s="39">
        <v>415</v>
      </c>
      <c r="D36" s="40">
        <f t="shared" si="9"/>
        <v>749.5207477099999</v>
      </c>
      <c r="E36" s="41">
        <f t="shared" si="8"/>
        <v>4916.533811056084</v>
      </c>
      <c r="F36" s="370"/>
      <c r="G36" s="371"/>
      <c r="H36" s="371"/>
      <c r="I36" s="372"/>
      <c r="K36" s="67" t="s">
        <v>83</v>
      </c>
      <c r="L36" s="68"/>
      <c r="M36" s="68"/>
      <c r="N36" s="68"/>
    </row>
    <row r="37" spans="2:14" ht="19.5" customHeight="1" thickTop="1">
      <c r="B37" s="38">
        <v>5</v>
      </c>
      <c r="C37" s="39">
        <v>438</v>
      </c>
      <c r="D37" s="40">
        <f t="shared" si="9"/>
        <v>791.0604124000001</v>
      </c>
      <c r="E37" s="41">
        <f t="shared" si="8"/>
        <v>5189.016149366669</v>
      </c>
      <c r="F37" s="382" t="s">
        <v>10</v>
      </c>
      <c r="G37" s="365" t="s">
        <v>64</v>
      </c>
      <c r="H37" s="377" t="s">
        <v>65</v>
      </c>
      <c r="I37" s="378"/>
      <c r="K37" s="67" t="s">
        <v>84</v>
      </c>
      <c r="L37" s="68"/>
      <c r="M37" s="68"/>
      <c r="N37" s="68"/>
    </row>
    <row r="38" spans="2:11" ht="19.5" customHeight="1" thickBot="1">
      <c r="B38" s="38">
        <v>6</v>
      </c>
      <c r="C38" s="39">
        <v>466</v>
      </c>
      <c r="D38" s="40">
        <f t="shared" si="9"/>
        <v>840.6439935400001</v>
      </c>
      <c r="E38" s="41">
        <f t="shared" si="8"/>
        <v>5514.263120705178</v>
      </c>
      <c r="F38" s="383"/>
      <c r="G38" s="366"/>
      <c r="H38" s="27" t="s">
        <v>66</v>
      </c>
      <c r="I38" s="28" t="s">
        <v>67</v>
      </c>
      <c r="K38" s="69" t="s">
        <v>74</v>
      </c>
    </row>
    <row r="39" spans="2:14" ht="19.5" customHeight="1" thickTop="1">
      <c r="B39" s="38">
        <v>7</v>
      </c>
      <c r="C39" s="39">
        <v>494</v>
      </c>
      <c r="D39" s="40">
        <f t="shared" si="9"/>
        <v>891.2175746799999</v>
      </c>
      <c r="E39" s="41">
        <f t="shared" si="8"/>
        <v>5846.004066343687</v>
      </c>
      <c r="F39" s="70">
        <v>1</v>
      </c>
      <c r="G39" s="71">
        <v>494</v>
      </c>
      <c r="H39" s="33">
        <f>ROUNDDOWN($E$7*G39/12/2,2)+ROUNDDOWN($E$7*G39/12/2,2)*0.01-ROUNDDOWN($E$7*G39/12/2,2)*0.0785-(ROUNDDOWN($E$7*G39/12/2,2)+ROUNDDOWN($E$7*G39/12/2,2)*0.01)*0.97*0.075-(ROUNDDOWN($E$7*G39/12/2,2)+ROUNDDOWN($E$7*G39/12/2,2)*0.01)*0.97*0.005-(ROUNDDOWN($E$7*G39/12/2,2)+ROUNDDOWN($E$7*G39/12/2,2)*0.01)*0.026-(ROUNDDOWN($E$7*G39/12/2,2)+ROUNDDOWN($E$7*G39/12/2,2)*0.01-ROUNDDOWN($E$7*G39/12/2,2)*0.0785-ROUND($E$7*G39/12/2*0.01*0.05,0))*0.01-ROUND((($E$7*G39/12/2)*0.01)*0.05,0)</f>
        <v>891.2175746799999</v>
      </c>
      <c r="I39" s="34">
        <f aca="true" t="shared" si="10" ref="I39:I45">H39*6.55957</f>
        <v>5846.004066343687</v>
      </c>
      <c r="K39" s="67" t="s">
        <v>85</v>
      </c>
      <c r="L39" s="72"/>
      <c r="M39" s="72"/>
      <c r="N39" s="72"/>
    </row>
    <row r="40" spans="2:9" ht="19.5" customHeight="1">
      <c r="B40" s="38">
        <v>8</v>
      </c>
      <c r="C40" s="39">
        <v>530</v>
      </c>
      <c r="D40" s="40">
        <f t="shared" si="9"/>
        <v>956.22907116</v>
      </c>
      <c r="E40" s="41">
        <f t="shared" si="8"/>
        <v>6272.451528309001</v>
      </c>
      <c r="F40" s="38">
        <v>2</v>
      </c>
      <c r="G40" s="73">
        <v>559</v>
      </c>
      <c r="H40" s="40">
        <f aca="true" t="shared" si="11" ref="H40:H45">ROUNDDOWN($E$7*G40/12/2,2)+ROUNDDOWN($E$7*G40/12/2,2)*0.01-ROUNDDOWN($E$7*G40/12/2,2)*0.0785-(ROUNDDOWN($E$7*G40/12/2,2)+ROUNDDOWN($E$7*G40/12/2,2)*0.01)*0.97*0.075-(ROUNDDOWN($E$7*G40/12/2,2)+ROUNDDOWN($E$7*G40/12/2,2)*0.01)*0.97*0.005-(ROUNDDOWN($E$7*G40/12/2,2)+ROUNDDOWN($E$7*G40/12/2,2)*0.01)*0.026-(ROUNDDOWN($E$7*G40/12/2,2)+ROUNDDOWN($E$7*G40/12/2,2)*0.01-ROUNDDOWN($E$7*G40/12/2,2)*0.0785-ROUND($E$7*G40/12/2*0.01*0.05,0))*0.01-ROUND((($E$7*G40/12/2)*0.01)*0.05,0)</f>
        <v>1008.60943559</v>
      </c>
      <c r="I40" s="41">
        <f t="shared" si="10"/>
        <v>6616.044195413096</v>
      </c>
    </row>
    <row r="41" spans="2:11" ht="19.5" customHeight="1">
      <c r="B41" s="38">
        <v>9</v>
      </c>
      <c r="C41" s="39">
        <v>566</v>
      </c>
      <c r="D41" s="40">
        <f t="shared" si="9"/>
        <v>1021.2487431300001</v>
      </c>
      <c r="E41" s="41">
        <f t="shared" si="8"/>
        <v>6698.952617973255</v>
      </c>
      <c r="F41" s="38">
        <v>3</v>
      </c>
      <c r="G41" s="73">
        <v>600</v>
      </c>
      <c r="H41" s="40">
        <f t="shared" si="11"/>
        <v>1082.66302401</v>
      </c>
      <c r="I41" s="41">
        <f t="shared" si="10"/>
        <v>7101.803892405276</v>
      </c>
      <c r="K41" s="67" t="s">
        <v>86</v>
      </c>
    </row>
    <row r="42" spans="2:11" ht="19.5" customHeight="1">
      <c r="B42" s="38">
        <v>10</v>
      </c>
      <c r="C42" s="39">
        <v>611</v>
      </c>
      <c r="D42" s="40">
        <f t="shared" si="9"/>
        <v>1102.52946471</v>
      </c>
      <c r="E42" s="41">
        <f t="shared" si="8"/>
        <v>7232.119200827774</v>
      </c>
      <c r="F42" s="38">
        <v>4</v>
      </c>
      <c r="G42" s="73">
        <v>641</v>
      </c>
      <c r="H42" s="40">
        <f t="shared" si="11"/>
        <v>1156.7084369400002</v>
      </c>
      <c r="I42" s="41">
        <f t="shared" si="10"/>
        <v>7587.509961698517</v>
      </c>
      <c r="K42" s="69" t="s">
        <v>75</v>
      </c>
    </row>
    <row r="43" spans="2:9" ht="19.5" customHeight="1" thickBot="1">
      <c r="B43" s="44">
        <v>11</v>
      </c>
      <c r="C43" s="45">
        <v>657</v>
      </c>
      <c r="D43" s="46">
        <f t="shared" si="9"/>
        <v>1185.6087940900002</v>
      </c>
      <c r="E43" s="47">
        <f t="shared" si="8"/>
        <v>7777.083877448942</v>
      </c>
      <c r="F43" s="38">
        <v>5</v>
      </c>
      <c r="G43" s="73">
        <v>694</v>
      </c>
      <c r="H43" s="40">
        <f t="shared" si="11"/>
        <v>1252.4352493500003</v>
      </c>
      <c r="I43" s="41">
        <f t="shared" si="10"/>
        <v>8215.43668857878</v>
      </c>
    </row>
    <row r="44" spans="6:11" ht="19.5" customHeight="1" thickTop="1">
      <c r="F44" s="38">
        <v>6</v>
      </c>
      <c r="G44" s="73">
        <v>740</v>
      </c>
      <c r="H44" s="40">
        <f t="shared" si="11"/>
        <v>1335.5145787299998</v>
      </c>
      <c r="I44" s="41">
        <f t="shared" si="10"/>
        <v>8760.401365199945</v>
      </c>
      <c r="K44" s="67" t="s">
        <v>87</v>
      </c>
    </row>
    <row r="45" spans="3:11" ht="19.5" customHeight="1" thickBot="1">
      <c r="C45" s="9"/>
      <c r="D45" s="9"/>
      <c r="E45" s="9"/>
      <c r="F45" s="44">
        <v>7</v>
      </c>
      <c r="G45" s="74">
        <v>782</v>
      </c>
      <c r="H45" s="46">
        <f t="shared" si="11"/>
        <v>1411.3667749499998</v>
      </c>
      <c r="I45" s="47">
        <f t="shared" si="10"/>
        <v>9257.95915595877</v>
      </c>
      <c r="K45" s="69" t="s">
        <v>76</v>
      </c>
    </row>
    <row r="46" spans="3:4" ht="15.75" thickTop="1">
      <c r="C46" s="64"/>
      <c r="D46" s="64"/>
    </row>
    <row r="47" spans="3:5" ht="15">
      <c r="C47" s="64"/>
      <c r="D47" s="64"/>
      <c r="E47" s="64"/>
    </row>
    <row r="48" spans="3:5" ht="15">
      <c r="C48" s="64"/>
      <c r="D48" s="64"/>
      <c r="E48" s="64"/>
    </row>
    <row r="49" spans="3:5" ht="15">
      <c r="C49" s="9"/>
      <c r="D49" s="9"/>
      <c r="E49" s="9"/>
    </row>
  </sheetData>
  <sheetProtection password="CD3F" sheet="1" objects="1" scenarios="1"/>
  <mergeCells count="28">
    <mergeCell ref="E7:F7"/>
    <mergeCell ref="E8:F8"/>
    <mergeCell ref="E9:F9"/>
    <mergeCell ref="F27:K27"/>
    <mergeCell ref="C12:L12"/>
    <mergeCell ref="J13:M13"/>
    <mergeCell ref="K14:M14"/>
    <mergeCell ref="F13:I13"/>
    <mergeCell ref="G14:I14"/>
    <mergeCell ref="F14:F15"/>
    <mergeCell ref="H37:I37"/>
    <mergeCell ref="B31:B32"/>
    <mergeCell ref="F37:F38"/>
    <mergeCell ref="F28:H28"/>
    <mergeCell ref="C31:C32"/>
    <mergeCell ref="D31:E31"/>
    <mergeCell ref="G37:G38"/>
    <mergeCell ref="D28:E28"/>
    <mergeCell ref="B4:K5"/>
    <mergeCell ref="J14:J15"/>
    <mergeCell ref="F35:I36"/>
    <mergeCell ref="L4:M4"/>
    <mergeCell ref="L5:M5"/>
    <mergeCell ref="D14:E14"/>
    <mergeCell ref="C13:E13"/>
    <mergeCell ref="B14:B15"/>
    <mergeCell ref="C14:C15"/>
    <mergeCell ref="J28:L28"/>
  </mergeCells>
  <conditionalFormatting sqref="B16:M26">
    <cfRule type="expression" priority="1" dxfId="0" stopIfTrue="1">
      <formula>(EVEN(ROW())=ROW())</formula>
    </cfRule>
  </conditionalFormatting>
  <conditionalFormatting sqref="B33:E43 F39:I45">
    <cfRule type="expression" priority="2" dxfId="0" stopIfTrue="1">
      <formula>(ODD(ROW())=ROW())</formula>
    </cfRule>
  </conditionalFormatting>
  <hyperlinks>
    <hyperlink ref="B2:J2" location="Intro!B8" display="Pour revenir à la page d'accueil, cliquez ici ou sur l'onglet Intro en bas de page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="91" zoomScaleNormal="91" workbookViewId="0" topLeftCell="A1">
      <selection activeCell="M2" sqref="M2:T3"/>
    </sheetView>
  </sheetViews>
  <sheetFormatPr defaultColWidth="11.00390625" defaultRowHeight="12"/>
  <cols>
    <col min="1" max="1" width="5.875" style="80" customWidth="1"/>
    <col min="2" max="2" width="19.375" style="80" customWidth="1"/>
    <col min="3" max="3" width="18.375" style="82" customWidth="1"/>
    <col min="4" max="5" width="19.00390625" style="80" customWidth="1"/>
    <col min="6" max="7" width="9.875" style="80" customWidth="1"/>
    <col min="8" max="8" width="12.625" style="80" customWidth="1"/>
    <col min="9" max="9" width="3.625" style="80" customWidth="1"/>
    <col min="10" max="16384" width="12.625" style="80" customWidth="1"/>
  </cols>
  <sheetData>
    <row r="1" spans="1:7" ht="18">
      <c r="A1" s="405" t="s">
        <v>101</v>
      </c>
      <c r="B1" s="405"/>
      <c r="C1" s="405"/>
      <c r="D1" s="405"/>
      <c r="E1" s="405"/>
      <c r="F1" s="405"/>
      <c r="G1" s="405"/>
    </row>
    <row r="2" spans="2:5" ht="8.25" customHeight="1" thickBot="1">
      <c r="B2" s="81"/>
      <c r="D2" s="81"/>
      <c r="E2" s="81"/>
    </row>
    <row r="3" spans="1:9" s="84" customFormat="1" ht="26.25" customHeight="1" thickBot="1">
      <c r="A3" s="83" t="s">
        <v>102</v>
      </c>
      <c r="C3" s="85"/>
      <c r="D3" s="86">
        <f>'données à mettre à jour'!F7</f>
        <v>2005</v>
      </c>
      <c r="E3" s="410" t="s">
        <v>127</v>
      </c>
      <c r="F3" s="411"/>
      <c r="G3" s="411"/>
      <c r="H3" s="411"/>
      <c r="I3" s="411"/>
    </row>
    <row r="4" spans="3:8" s="84" customFormat="1" ht="15.75" customHeight="1" thickBot="1">
      <c r="C4" s="87"/>
      <c r="G4" s="88" t="s">
        <v>103</v>
      </c>
      <c r="H4" s="88" t="s">
        <v>43</v>
      </c>
    </row>
    <row r="5" spans="2:8" ht="30" customHeight="1" thickBot="1">
      <c r="B5" s="89" t="s">
        <v>104</v>
      </c>
      <c r="C5" s="408" t="s">
        <v>133</v>
      </c>
      <c r="D5" s="409"/>
      <c r="F5" s="90" t="s">
        <v>105</v>
      </c>
      <c r="G5" s="91">
        <f>'Reclassement zone 2'!R9</f>
        <v>10</v>
      </c>
      <c r="H5" s="92">
        <f>'Reclassement zone 2'!R11</f>
        <v>6</v>
      </c>
    </row>
    <row r="6" spans="2:5" ht="8.25" customHeight="1" thickBot="1">
      <c r="B6" s="81"/>
      <c r="D6" s="81"/>
      <c r="E6" s="81"/>
    </row>
    <row r="7" spans="2:8" s="93" customFormat="1" ht="42.75" customHeight="1" thickBot="1">
      <c r="B7" s="94" t="s">
        <v>106</v>
      </c>
      <c r="C7" s="91" t="str">
        <f>'Reclassement zone 2'!R7</f>
        <v>O</v>
      </c>
      <c r="D7" s="413" t="s">
        <v>107</v>
      </c>
      <c r="E7" s="414"/>
      <c r="F7" s="415"/>
      <c r="G7" s="406" t="str">
        <f>IF('Reclassement zone 2'!R6="Célibataire","N","O")</f>
        <v>O</v>
      </c>
      <c r="H7" s="407"/>
    </row>
    <row r="8" spans="4:6" ht="19.5" thickBot="1">
      <c r="D8" s="95" t="s">
        <v>99</v>
      </c>
      <c r="E8" s="95" t="s">
        <v>108</v>
      </c>
      <c r="F8" s="96"/>
    </row>
    <row r="9" spans="2:5" s="97" customFormat="1" ht="29.25" customHeight="1" thickBot="1">
      <c r="B9" s="98" t="s">
        <v>109</v>
      </c>
      <c r="C9" s="82"/>
      <c r="D9" s="99">
        <f>'données à mettre à jour'!C4</f>
        <v>161.66</v>
      </c>
      <c r="E9" s="99">
        <f>'données à mettre à jour'!F4</f>
        <v>202.08</v>
      </c>
    </row>
    <row r="10" spans="2:5" ht="8.25" customHeight="1">
      <c r="B10" s="81"/>
      <c r="D10" s="81"/>
      <c r="E10" s="81"/>
    </row>
    <row r="11" spans="2:5" ht="18">
      <c r="B11" s="417" t="s">
        <v>110</v>
      </c>
      <c r="C11" s="100" t="s">
        <v>111</v>
      </c>
      <c r="D11" s="101">
        <v>161.66</v>
      </c>
      <c r="E11" s="101">
        <v>202.08</v>
      </c>
    </row>
    <row r="12" spans="2:8" ht="20.25">
      <c r="B12" s="417"/>
      <c r="C12" s="100" t="s">
        <v>112</v>
      </c>
      <c r="D12" s="102">
        <v>160</v>
      </c>
      <c r="E12" s="102">
        <v>200</v>
      </c>
      <c r="G12" s="416" t="s">
        <v>113</v>
      </c>
      <c r="H12" s="416"/>
    </row>
    <row r="13" spans="2:5" ht="8.25" customHeight="1">
      <c r="B13" s="81"/>
      <c r="D13" s="81"/>
      <c r="E13" s="81"/>
    </row>
    <row r="14" spans="1:8" ht="18">
      <c r="A14" s="103"/>
      <c r="B14" s="103"/>
      <c r="C14" s="104"/>
      <c r="D14" s="103"/>
      <c r="E14" s="103"/>
      <c r="F14" s="103"/>
      <c r="G14" s="412">
        <f>Calcul!F9</f>
        <v>206.15</v>
      </c>
      <c r="H14" s="412"/>
    </row>
    <row r="15" spans="1:8" ht="20.25">
      <c r="A15" s="418" t="s">
        <v>114</v>
      </c>
      <c r="B15" s="418"/>
      <c r="C15" s="418"/>
      <c r="D15" s="418"/>
      <c r="E15" s="418"/>
      <c r="F15" s="105">
        <f>D3</f>
        <v>2005</v>
      </c>
      <c r="G15" s="412"/>
      <c r="H15" s="412"/>
    </row>
    <row r="16" spans="1:8" ht="18">
      <c r="A16" s="103"/>
      <c r="B16" s="103"/>
      <c r="C16" s="104"/>
      <c r="D16" s="103"/>
      <c r="E16" s="103"/>
      <c r="F16" s="103"/>
      <c r="G16" s="412"/>
      <c r="H16" s="412"/>
    </row>
    <row r="18" ht="20.25">
      <c r="G18" s="106"/>
    </row>
  </sheetData>
  <sheetProtection password="CD3F" sheet="1" objects="1" scenarios="1"/>
  <mergeCells count="9">
    <mergeCell ref="G14:H16"/>
    <mergeCell ref="D7:F7"/>
    <mergeCell ref="G12:H12"/>
    <mergeCell ref="B11:B12"/>
    <mergeCell ref="A15:E15"/>
    <mergeCell ref="A1:G1"/>
    <mergeCell ref="G7:H7"/>
    <mergeCell ref="C5:D5"/>
    <mergeCell ref="E3:I3"/>
  </mergeCells>
  <hyperlinks>
    <hyperlink ref="G12:H12" location="Calcul!A1" display="Voir le calcul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K6" sqref="K6:P6"/>
    </sheetView>
  </sheetViews>
  <sheetFormatPr defaultColWidth="12.625" defaultRowHeight="12"/>
  <cols>
    <col min="1" max="16384" width="12.625" style="107" customWidth="1"/>
  </cols>
  <sheetData>
    <row r="1" ht="16.5" thickBot="1"/>
    <row r="2" spans="1:5" ht="16.5" thickBot="1">
      <c r="A2" s="107" t="s">
        <v>115</v>
      </c>
      <c r="C2" s="108">
        <f>Calcul!C4</f>
        <v>53.0196</v>
      </c>
      <c r="D2" s="109" t="s">
        <v>53</v>
      </c>
      <c r="E2" s="110" t="str">
        <f>"1/9/"&amp;'Calcul indemnité différentielle'!D3</f>
        <v>1/9/2005</v>
      </c>
    </row>
    <row r="3" ht="16.5" thickBot="1"/>
    <row r="4" spans="1:8" ht="17.25" thickBot="1" thickTop="1">
      <c r="A4" s="425" t="s">
        <v>116</v>
      </c>
      <c r="B4" s="426"/>
      <c r="C4" s="426"/>
      <c r="D4" s="427"/>
      <c r="E4" s="428" t="s">
        <v>43</v>
      </c>
      <c r="F4" s="429"/>
      <c r="G4" s="429"/>
      <c r="H4" s="430"/>
    </row>
    <row r="5" spans="1:8" ht="15.75">
      <c r="A5" s="421" t="s">
        <v>10</v>
      </c>
      <c r="B5" s="423" t="s">
        <v>64</v>
      </c>
      <c r="C5" s="419" t="s">
        <v>117</v>
      </c>
      <c r="D5" s="420"/>
      <c r="E5" s="431" t="s">
        <v>10</v>
      </c>
      <c r="F5" s="433" t="s">
        <v>64</v>
      </c>
      <c r="G5" s="435" t="s">
        <v>117</v>
      </c>
      <c r="H5" s="436"/>
    </row>
    <row r="6" spans="1:8" ht="16.5" thickBot="1">
      <c r="A6" s="422"/>
      <c r="B6" s="424"/>
      <c r="C6" s="115" t="s">
        <v>118</v>
      </c>
      <c r="D6" s="116" t="s">
        <v>119</v>
      </c>
      <c r="E6" s="432"/>
      <c r="F6" s="434"/>
      <c r="G6" s="117" t="s">
        <v>118</v>
      </c>
      <c r="H6" s="118" t="s">
        <v>119</v>
      </c>
    </row>
    <row r="7" spans="1:8" ht="15.75">
      <c r="A7" s="111">
        <v>1</v>
      </c>
      <c r="B7" s="112">
        <v>340</v>
      </c>
      <c r="C7" s="119">
        <f aca="true" t="shared" si="0" ref="C7:C17">ROUNDDOWN(B7*$C$2/12/2,2)</f>
        <v>751.11</v>
      </c>
      <c r="D7" s="120">
        <f aca="true" t="shared" si="1" ref="D7:D17">ROUNDDOWN(B7*$C$2/12,2)</f>
        <v>1502.22</v>
      </c>
      <c r="E7" s="113">
        <v>1</v>
      </c>
      <c r="F7" s="114">
        <v>348</v>
      </c>
      <c r="G7" s="121">
        <f aca="true" t="shared" si="2" ref="G7:G17">ROUNDDOWN(F7*$C$2/12/2,2)</f>
        <v>768.78</v>
      </c>
      <c r="H7" s="122">
        <f aca="true" t="shared" si="3" ref="H7:H17">ROUNDDOWN(F7*$C$2/12,2)</f>
        <v>1537.56</v>
      </c>
    </row>
    <row r="8" spans="1:8" ht="15.75">
      <c r="A8" s="123">
        <v>2</v>
      </c>
      <c r="B8" s="124">
        <v>356</v>
      </c>
      <c r="C8" s="125">
        <f t="shared" si="0"/>
        <v>786.45</v>
      </c>
      <c r="D8" s="126">
        <f t="shared" si="1"/>
        <v>1572.91</v>
      </c>
      <c r="E8" s="127">
        <v>2</v>
      </c>
      <c r="F8" s="128">
        <v>375</v>
      </c>
      <c r="G8" s="129">
        <f t="shared" si="2"/>
        <v>828.43</v>
      </c>
      <c r="H8" s="130">
        <f t="shared" si="3"/>
        <v>1656.86</v>
      </c>
    </row>
    <row r="9" spans="1:8" ht="15.75">
      <c r="A9" s="123">
        <v>3</v>
      </c>
      <c r="B9" s="124">
        <v>365</v>
      </c>
      <c r="C9" s="125">
        <f t="shared" si="0"/>
        <v>806.33</v>
      </c>
      <c r="D9" s="126">
        <f t="shared" si="1"/>
        <v>1612.67</v>
      </c>
      <c r="E9" s="127">
        <v>3</v>
      </c>
      <c r="F9" s="128">
        <v>394</v>
      </c>
      <c r="G9" s="129">
        <f t="shared" si="2"/>
        <v>870.4</v>
      </c>
      <c r="H9" s="130">
        <f t="shared" si="3"/>
        <v>1740.81</v>
      </c>
    </row>
    <row r="10" spans="1:8" ht="15.75">
      <c r="A10" s="123">
        <v>4</v>
      </c>
      <c r="B10" s="124">
        <v>372</v>
      </c>
      <c r="C10" s="125">
        <f t="shared" si="0"/>
        <v>821.8</v>
      </c>
      <c r="D10" s="126">
        <f t="shared" si="1"/>
        <v>1643.6</v>
      </c>
      <c r="E10" s="127">
        <v>4</v>
      </c>
      <c r="F10" s="128">
        <v>415</v>
      </c>
      <c r="G10" s="129">
        <f t="shared" si="2"/>
        <v>916.79</v>
      </c>
      <c r="H10" s="130">
        <f t="shared" si="3"/>
        <v>1833.59</v>
      </c>
    </row>
    <row r="11" spans="1:8" ht="15.75">
      <c r="A11" s="123">
        <v>5</v>
      </c>
      <c r="B11" s="124">
        <v>382</v>
      </c>
      <c r="C11" s="125">
        <f t="shared" si="0"/>
        <v>843.89</v>
      </c>
      <c r="D11" s="126">
        <f t="shared" si="1"/>
        <v>1687.79</v>
      </c>
      <c r="E11" s="127">
        <v>5</v>
      </c>
      <c r="F11" s="128">
        <v>438</v>
      </c>
      <c r="G11" s="129">
        <f t="shared" si="2"/>
        <v>967.6</v>
      </c>
      <c r="H11" s="130">
        <f t="shared" si="3"/>
        <v>1935.21</v>
      </c>
    </row>
    <row r="12" spans="1:8" ht="15.75">
      <c r="A12" s="123">
        <v>6</v>
      </c>
      <c r="B12" s="124">
        <v>389</v>
      </c>
      <c r="C12" s="125">
        <f t="shared" si="0"/>
        <v>859.35</v>
      </c>
      <c r="D12" s="126">
        <f t="shared" si="1"/>
        <v>1718.71</v>
      </c>
      <c r="E12" s="127">
        <v>6</v>
      </c>
      <c r="F12" s="128">
        <v>466</v>
      </c>
      <c r="G12" s="129">
        <f t="shared" si="2"/>
        <v>1029.46</v>
      </c>
      <c r="H12" s="130">
        <f t="shared" si="3"/>
        <v>2058.92</v>
      </c>
    </row>
    <row r="13" spans="1:8" ht="15.75">
      <c r="A13" s="123">
        <v>7</v>
      </c>
      <c r="B13" s="124">
        <v>398</v>
      </c>
      <c r="C13" s="125">
        <f t="shared" si="0"/>
        <v>879.24</v>
      </c>
      <c r="D13" s="126">
        <f t="shared" si="1"/>
        <v>1758.48</v>
      </c>
      <c r="E13" s="127">
        <v>7</v>
      </c>
      <c r="F13" s="128">
        <v>494</v>
      </c>
      <c r="G13" s="129">
        <f t="shared" si="2"/>
        <v>1091.32</v>
      </c>
      <c r="H13" s="130">
        <f t="shared" si="3"/>
        <v>2182.64</v>
      </c>
    </row>
    <row r="14" spans="1:8" ht="15.75">
      <c r="A14" s="123">
        <v>8</v>
      </c>
      <c r="B14" s="124">
        <v>419</v>
      </c>
      <c r="C14" s="125">
        <f t="shared" si="0"/>
        <v>925.63</v>
      </c>
      <c r="D14" s="126">
        <f t="shared" si="1"/>
        <v>1851.26</v>
      </c>
      <c r="E14" s="127">
        <v>8</v>
      </c>
      <c r="F14" s="128">
        <v>530</v>
      </c>
      <c r="G14" s="129">
        <f t="shared" si="2"/>
        <v>1170.84</v>
      </c>
      <c r="H14" s="130">
        <f t="shared" si="3"/>
        <v>2341.69</v>
      </c>
    </row>
    <row r="15" spans="1:8" ht="15.75">
      <c r="A15" s="123">
        <v>9</v>
      </c>
      <c r="B15" s="124">
        <v>440</v>
      </c>
      <c r="C15" s="125">
        <f t="shared" si="0"/>
        <v>972.02</v>
      </c>
      <c r="D15" s="126">
        <f t="shared" si="1"/>
        <v>1944.05</v>
      </c>
      <c r="E15" s="127">
        <v>9</v>
      </c>
      <c r="F15" s="128">
        <v>566</v>
      </c>
      <c r="G15" s="129">
        <f t="shared" si="2"/>
        <v>1250.37</v>
      </c>
      <c r="H15" s="130">
        <f t="shared" si="3"/>
        <v>2500.75</v>
      </c>
    </row>
    <row r="16" spans="1:8" ht="15.75">
      <c r="A16" s="123">
        <v>10</v>
      </c>
      <c r="B16" s="124">
        <v>468</v>
      </c>
      <c r="C16" s="125">
        <f t="shared" si="0"/>
        <v>1033.88</v>
      </c>
      <c r="D16" s="126">
        <f t="shared" si="1"/>
        <v>2067.76</v>
      </c>
      <c r="E16" s="127">
        <v>10</v>
      </c>
      <c r="F16" s="128">
        <v>611</v>
      </c>
      <c r="G16" s="129">
        <f t="shared" si="2"/>
        <v>1349.79</v>
      </c>
      <c r="H16" s="130">
        <f t="shared" si="3"/>
        <v>2699.58</v>
      </c>
    </row>
    <row r="17" spans="1:8" ht="16.5" thickBot="1">
      <c r="A17" s="131">
        <v>11</v>
      </c>
      <c r="B17" s="132">
        <v>514</v>
      </c>
      <c r="C17" s="133">
        <f t="shared" si="0"/>
        <v>1135.5</v>
      </c>
      <c r="D17" s="134">
        <f t="shared" si="1"/>
        <v>2271</v>
      </c>
      <c r="E17" s="135">
        <v>11</v>
      </c>
      <c r="F17" s="136">
        <v>657</v>
      </c>
      <c r="G17" s="137">
        <f t="shared" si="2"/>
        <v>1451.41</v>
      </c>
      <c r="H17" s="138">
        <f t="shared" si="3"/>
        <v>2902.82</v>
      </c>
    </row>
    <row r="18" ht="16.5" thickTop="1"/>
  </sheetData>
  <sheetProtection password="CD3F" sheet="1" objects="1" scenarios="1"/>
  <mergeCells count="8">
    <mergeCell ref="E4:H4"/>
    <mergeCell ref="E5:E6"/>
    <mergeCell ref="F5:F6"/>
    <mergeCell ref="G5:H5"/>
    <mergeCell ref="C5:D5"/>
    <mergeCell ref="A5:A6"/>
    <mergeCell ref="B5:B6"/>
    <mergeCell ref="A4:D4"/>
  </mergeCells>
  <printOptions/>
  <pageMargins left="0.75" right="0.75" top="1" bottom="1" header="0.4921259845" footer="0.4921259845"/>
  <pageSetup horizontalDpi="600" verticalDpi="600" orientation="landscape" paperSize="9" scale="13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18"/>
  <sheetViews>
    <sheetView showGridLines="0" zoomScale="81" zoomScaleNormal="81" workbookViewId="0" topLeftCell="A1">
      <selection activeCell="J28" sqref="J28:L28"/>
    </sheetView>
  </sheetViews>
  <sheetFormatPr defaultColWidth="11.00390625" defaultRowHeight="12"/>
  <cols>
    <col min="1" max="1" width="9.375" style="139" customWidth="1"/>
    <col min="2" max="2" width="22.125" style="140" customWidth="1"/>
    <col min="3" max="3" width="19.75390625" style="141" customWidth="1"/>
    <col min="4" max="4" width="3.375" style="139" customWidth="1"/>
    <col min="5" max="16384" width="11.375" style="139" customWidth="1"/>
  </cols>
  <sheetData>
    <row r="1" ht="10.5" customHeight="1"/>
    <row r="2" spans="2:3" ht="18">
      <c r="B2" s="437" t="s">
        <v>120</v>
      </c>
      <c r="C2" s="438"/>
    </row>
    <row r="3" spans="2:3" ht="18">
      <c r="B3" s="438"/>
      <c r="C3" s="438"/>
    </row>
    <row r="4" ht="18.75" thickBot="1"/>
    <row r="5" spans="2:3" s="142" customFormat="1" ht="21" customHeight="1" thickBot="1">
      <c r="B5" s="143" t="s">
        <v>121</v>
      </c>
      <c r="C5" s="144" t="s">
        <v>66</v>
      </c>
    </row>
    <row r="6" spans="2:3" s="142" customFormat="1" ht="21" customHeight="1">
      <c r="B6" s="145">
        <v>1995</v>
      </c>
      <c r="C6" s="146">
        <v>48.4773</v>
      </c>
    </row>
    <row r="7" spans="2:3" ht="21" customHeight="1">
      <c r="B7" s="147">
        <v>1996</v>
      </c>
      <c r="C7" s="148">
        <v>49.1557</v>
      </c>
    </row>
    <row r="8" spans="2:3" ht="21" customHeight="1">
      <c r="B8" s="147">
        <v>1997</v>
      </c>
      <c r="C8" s="148">
        <v>49.4011</v>
      </c>
    </row>
    <row r="9" spans="2:3" ht="21" customHeight="1">
      <c r="B9" s="147">
        <v>1998</v>
      </c>
      <c r="C9" s="148">
        <v>50.046</v>
      </c>
    </row>
    <row r="10" spans="2:3" ht="21" customHeight="1">
      <c r="B10" s="147">
        <v>1999</v>
      </c>
      <c r="C10" s="148">
        <v>50.5445</v>
      </c>
    </row>
    <row r="11" spans="2:3" ht="21" customHeight="1">
      <c r="B11" s="147">
        <v>2000</v>
      </c>
      <c r="C11" s="148">
        <v>50.9469</v>
      </c>
    </row>
    <row r="12" spans="2:3" ht="21" customHeight="1">
      <c r="B12" s="147">
        <v>2001</v>
      </c>
      <c r="C12" s="148">
        <v>51.4576</v>
      </c>
    </row>
    <row r="13" spans="2:3" ht="21" customHeight="1">
      <c r="B13" s="147">
        <v>2002</v>
      </c>
      <c r="C13" s="148">
        <v>52.1284</v>
      </c>
    </row>
    <row r="14" spans="2:3" ht="21" customHeight="1">
      <c r="B14" s="147">
        <v>2003</v>
      </c>
      <c r="C14" s="148">
        <v>52.4933</v>
      </c>
    </row>
    <row r="15" spans="2:3" ht="21" customHeight="1">
      <c r="B15" s="147">
        <v>2004</v>
      </c>
      <c r="C15" s="148">
        <v>52.7558</v>
      </c>
    </row>
    <row r="16" spans="2:3" ht="21" customHeight="1">
      <c r="B16" s="147">
        <v>2005</v>
      </c>
      <c r="C16" s="148">
        <v>53.0196</v>
      </c>
    </row>
    <row r="17" spans="2:3" ht="21" customHeight="1">
      <c r="B17" s="147">
        <v>2006</v>
      </c>
      <c r="C17" s="149"/>
    </row>
    <row r="18" spans="2:3" ht="21" customHeight="1" thickBot="1">
      <c r="B18" s="150">
        <v>2007</v>
      </c>
      <c r="C18" s="151"/>
    </row>
    <row r="19" ht="18" customHeight="1"/>
  </sheetData>
  <sheetProtection password="CD3F" sheet="1" objects="1" scenarios="1"/>
  <mergeCells count="1">
    <mergeCell ref="B2:C3"/>
  </mergeCells>
  <conditionalFormatting sqref="B6:C18">
    <cfRule type="expression" priority="1" dxfId="1" stopIfTrue="1">
      <formula>(EVEN(ROW())=ROW())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8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SNUipp</dc:creator>
  <cp:keywords/>
  <dc:description/>
  <cp:lastModifiedBy>Max Turlin</cp:lastModifiedBy>
  <cp:lastPrinted>2005-06-17T10:55:44Z</cp:lastPrinted>
  <dcterms:created xsi:type="dcterms:W3CDTF">2004-06-11T08:17:31Z</dcterms:created>
  <dcterms:modified xsi:type="dcterms:W3CDTF">2005-10-16T12:28:50Z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